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adaws\OneDrive\DOCUMENTS\Jobs\PERSGA\PERSGA SFISH\Reporting\RPOA\Draft Final\"/>
    </mc:Choice>
  </mc:AlternateContent>
  <xr:revisionPtr revIDLastSave="0" documentId="13_ncr:1_{691FB47B-F09E-4D39-8CF0-9CDF3FDEA5BE}" xr6:coauthVersionLast="47" xr6:coauthVersionMax="47" xr10:uidLastSave="{00000000-0000-0000-0000-000000000000}"/>
  <bookViews>
    <workbookView xWindow="-110" yWindow="-110" windowWidth="19420" windowHeight="10300" firstSheet="1" activeTab="2" xr2:uid="{00000000-000D-0000-FFFF-FFFF00000000}"/>
  </bookViews>
  <sheets>
    <sheet name="Assets all" sheetId="15" r:id="rId1"/>
    <sheet name="DID5259 RPOA Actions" sheetId="13" r:id="rId2"/>
    <sheet name="PERSGA RPOA Actions summary" sheetId="16" r:id="rId3"/>
    <sheet name="DID5271 NPOA Actions" sheetId="17" r:id="rId4"/>
  </sheets>
  <definedNames>
    <definedName name="_xlnm.Print_Area" localSheetId="0">'Assets all'!$A$1:$AB$29</definedName>
    <definedName name="_xlnm.Print_Area" localSheetId="1">'DID5259 RPOA Actions'!$A$1:$CH$135</definedName>
    <definedName name="_xlnm.Print_Area" localSheetId="3">'DID5271 NPOA Actions'!$A$1:$CH$135</definedName>
    <definedName name="_xlnm.Print_Area" localSheetId="2">'PERSGA RPOA Actions summary'!$A$1:$AR$50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6" i="13" l="1"/>
  <c r="BK15" i="13"/>
  <c r="BM14" i="13"/>
  <c r="BL110" i="13"/>
  <c r="BL109" i="13"/>
  <c r="BL101" i="13"/>
  <c r="BL100" i="13"/>
  <c r="BL87" i="13"/>
  <c r="BL77" i="13"/>
  <c r="BL76" i="13"/>
  <c r="BL75" i="13"/>
  <c r="BL74" i="13"/>
  <c r="BL73" i="13"/>
  <c r="BL62" i="13"/>
  <c r="BL61" i="13"/>
  <c r="BL60" i="13"/>
  <c r="BI56" i="13"/>
  <c r="BL54" i="13"/>
  <c r="BL53" i="13"/>
  <c r="BL52" i="13"/>
  <c r="BL51" i="13"/>
  <c r="BL46" i="13"/>
  <c r="BL45" i="13"/>
  <c r="BL44" i="13"/>
  <c r="BL43" i="13"/>
  <c r="BL32" i="13"/>
  <c r="BL31" i="13"/>
  <c r="BL30" i="13"/>
  <c r="BL29" i="13"/>
  <c r="BL28" i="13"/>
  <c r="BL27" i="13"/>
  <c r="BL26" i="13"/>
  <c r="BL25" i="13"/>
  <c r="BL24" i="13"/>
  <c r="BL23" i="13"/>
  <c r="BL22" i="13"/>
  <c r="BI22" i="13"/>
  <c r="BM21" i="13"/>
  <c r="BI21" i="13"/>
  <c r="BL21" i="13"/>
  <c r="BL20" i="13"/>
  <c r="BL19" i="13"/>
  <c r="BL18" i="13"/>
  <c r="BL16" i="13"/>
  <c r="BL14" i="13"/>
  <c r="BL12" i="13"/>
  <c r="BJ18" i="13"/>
  <c r="BI16" i="13"/>
  <c r="BI15" i="13"/>
  <c r="BI14" i="13"/>
  <c r="BL15" i="13"/>
  <c r="BK14" i="13"/>
  <c r="BM25" i="13"/>
  <c r="BI20" i="13"/>
  <c r="BI17" i="13"/>
  <c r="BI13" i="13"/>
  <c r="BM85" i="13"/>
  <c r="BM45" i="13"/>
  <c r="BK45" i="13"/>
  <c r="BK87" i="13"/>
  <c r="BK85" i="13"/>
  <c r="BM24" i="13"/>
  <c r="BM26" i="13"/>
  <c r="B137" i="13"/>
  <c r="CF31" i="13"/>
  <c r="BM31" i="13"/>
  <c r="BK31" i="13"/>
  <c r="BJ31" i="13"/>
  <c r="BI31" i="13"/>
  <c r="CF30" i="17"/>
  <c r="BO30" i="17"/>
  <c r="CF31" i="17"/>
  <c r="BO31" i="17"/>
  <c r="BM32" i="13"/>
  <c r="BN29" i="13"/>
  <c r="CF32" i="13"/>
  <c r="BK32" i="13"/>
  <c r="BJ32" i="13"/>
  <c r="BM28" i="13"/>
  <c r="BK29" i="13"/>
  <c r="CF28" i="13"/>
  <c r="BJ28" i="13"/>
  <c r="BO28" i="17"/>
  <c r="BO12" i="17"/>
  <c r="AF112" i="17"/>
  <c r="AF103" i="17"/>
  <c r="AF89" i="17"/>
  <c r="AF79" i="17"/>
  <c r="AF64" i="17"/>
  <c r="AF56" i="17"/>
  <c r="AF34" i="17"/>
  <c r="AF112" i="13"/>
  <c r="AF103" i="13"/>
  <c r="AF89" i="13"/>
  <c r="AF79" i="13"/>
  <c r="AF64" i="13"/>
  <c r="AF56" i="13"/>
  <c r="AF34" i="13"/>
  <c r="CF110" i="17"/>
  <c r="CF109" i="17"/>
  <c r="CF108" i="17"/>
  <c r="CF107" i="17"/>
  <c r="CF101" i="17"/>
  <c r="CF100" i="17"/>
  <c r="CF99" i="17"/>
  <c r="CF98" i="17"/>
  <c r="CF87" i="17"/>
  <c r="CF86" i="17"/>
  <c r="CF85" i="17"/>
  <c r="CF84" i="17"/>
  <c r="CF83" i="17"/>
  <c r="CF77" i="17"/>
  <c r="CF76" i="17"/>
  <c r="CF75" i="17"/>
  <c r="CF74" i="17"/>
  <c r="CF73" i="17"/>
  <c r="CF62" i="17"/>
  <c r="CF61" i="17"/>
  <c r="CF60" i="17"/>
  <c r="CF54" i="17"/>
  <c r="CF53" i="17"/>
  <c r="CF52" i="17"/>
  <c r="CF51" i="17"/>
  <c r="CF50" i="17"/>
  <c r="CF49" i="17"/>
  <c r="CF48" i="17"/>
  <c r="CF47" i="17"/>
  <c r="CF46" i="17"/>
  <c r="CF45" i="17"/>
  <c r="CF44" i="17"/>
  <c r="CF43" i="17"/>
  <c r="CF32" i="17"/>
  <c r="CF29" i="17"/>
  <c r="CF28" i="17"/>
  <c r="CF27" i="17"/>
  <c r="CF26" i="17"/>
  <c r="CF25" i="17"/>
  <c r="CF24" i="17"/>
  <c r="CF23" i="17"/>
  <c r="CF22" i="17"/>
  <c r="CF21" i="17"/>
  <c r="CF20" i="17"/>
  <c r="CF19" i="17"/>
  <c r="CF18" i="17"/>
  <c r="CF17" i="17"/>
  <c r="CF16" i="17"/>
  <c r="CF15" i="17"/>
  <c r="CF14" i="17"/>
  <c r="CF13" i="17"/>
  <c r="CF12" i="17"/>
  <c r="CF110" i="13"/>
  <c r="CF109" i="13"/>
  <c r="CF108" i="13"/>
  <c r="CF107" i="13"/>
  <c r="CF101" i="13"/>
  <c r="CF100" i="13"/>
  <c r="CF99" i="13"/>
  <c r="CF98" i="13"/>
  <c r="CF87" i="13"/>
  <c r="CF86" i="13"/>
  <c r="CF85" i="13"/>
  <c r="CF84" i="13"/>
  <c r="CF83" i="13"/>
  <c r="CF77" i="13"/>
  <c r="CF76" i="13"/>
  <c r="CF75" i="13"/>
  <c r="CF74" i="13"/>
  <c r="CF73" i="13"/>
  <c r="CF62" i="13"/>
  <c r="CF61" i="13"/>
  <c r="CF60" i="13"/>
  <c r="CF54" i="13"/>
  <c r="CF53" i="13"/>
  <c r="CF52" i="13"/>
  <c r="CF51" i="13"/>
  <c r="CF50" i="13"/>
  <c r="CF49" i="13"/>
  <c r="CF48" i="13"/>
  <c r="CF47" i="13"/>
  <c r="CF46" i="13"/>
  <c r="CF45" i="13"/>
  <c r="CF44" i="13"/>
  <c r="CF43" i="13"/>
  <c r="CF30" i="13"/>
  <c r="CF29" i="13"/>
  <c r="CF27" i="13"/>
  <c r="CF26" i="13"/>
  <c r="CF25" i="13"/>
  <c r="CF24" i="13"/>
  <c r="CF23" i="13"/>
  <c r="CF22" i="13"/>
  <c r="CF21" i="13"/>
  <c r="CF20" i="13"/>
  <c r="CF19" i="13"/>
  <c r="CF18" i="13"/>
  <c r="CF17" i="13"/>
  <c r="CF16" i="13"/>
  <c r="CF15" i="13"/>
  <c r="CF14" i="13"/>
  <c r="CF13" i="13"/>
  <c r="CF12" i="13"/>
  <c r="BI79" i="17"/>
  <c r="BJ79" i="17"/>
  <c r="BM79" i="17"/>
  <c r="BO75" i="17"/>
  <c r="BK79" i="17"/>
  <c r="BO77" i="17"/>
  <c r="BO32" i="17"/>
  <c r="BO29" i="17"/>
  <c r="CD112" i="17"/>
  <c r="CB112" i="17"/>
  <c r="BZ112" i="17"/>
  <c r="BX112" i="17"/>
  <c r="BN112" i="17"/>
  <c r="BL112" i="17"/>
  <c r="BK112" i="17"/>
  <c r="AA112" i="17"/>
  <c r="BM112" i="17"/>
  <c r="BJ112" i="17"/>
  <c r="BO110" i="17"/>
  <c r="BO109" i="17"/>
  <c r="BO108" i="17"/>
  <c r="BO107" i="17"/>
  <c r="CD103" i="17"/>
  <c r="CB103" i="17"/>
  <c r="BZ103" i="17"/>
  <c r="BX103" i="17"/>
  <c r="BN103" i="17"/>
  <c r="BM103" i="17"/>
  <c r="BK103" i="17"/>
  <c r="AA103" i="17"/>
  <c r="BO101" i="17"/>
  <c r="BI103" i="17"/>
  <c r="BL103" i="17"/>
  <c r="BO100" i="17"/>
  <c r="BO99" i="17"/>
  <c r="BO98" i="17"/>
  <c r="BJ103" i="17"/>
  <c r="CD89" i="17"/>
  <c r="CB89" i="17"/>
  <c r="BZ89" i="17"/>
  <c r="BX89" i="17"/>
  <c r="BN89" i="17"/>
  <c r="BL89" i="17"/>
  <c r="AA89" i="17"/>
  <c r="BO87" i="17"/>
  <c r="BO86" i="17"/>
  <c r="BO85" i="17"/>
  <c r="BK89" i="17"/>
  <c r="BJ89" i="17"/>
  <c r="BO84" i="17"/>
  <c r="BM89" i="17"/>
  <c r="BO83" i="17"/>
  <c r="CD79" i="17"/>
  <c r="CB79" i="17"/>
  <c r="BZ79" i="17"/>
  <c r="BX79" i="17"/>
  <c r="BN79" i="17"/>
  <c r="AA79" i="17"/>
  <c r="BO74" i="17"/>
  <c r="CD64" i="17"/>
  <c r="CB64" i="17"/>
  <c r="BZ64" i="17"/>
  <c r="BX64" i="17"/>
  <c r="BN64" i="17"/>
  <c r="AA64" i="17"/>
  <c r="BO62" i="17"/>
  <c r="BO61" i="17"/>
  <c r="BM64" i="17"/>
  <c r="BL64" i="17"/>
  <c r="BK64" i="17"/>
  <c r="BJ64" i="17"/>
  <c r="BI64" i="17"/>
  <c r="CD56" i="17"/>
  <c r="CB56" i="17"/>
  <c r="BZ56" i="17"/>
  <c r="BX56" i="17"/>
  <c r="BN56" i="17"/>
  <c r="BI56" i="17"/>
  <c r="AA56" i="17"/>
  <c r="BO54" i="17"/>
  <c r="BO53" i="17"/>
  <c r="BO52" i="17"/>
  <c r="BO51" i="17"/>
  <c r="BJ56" i="17"/>
  <c r="BO50" i="17"/>
  <c r="BO49" i="17"/>
  <c r="BO48" i="17"/>
  <c r="BO47" i="17"/>
  <c r="BO46" i="17"/>
  <c r="BO45" i="17"/>
  <c r="BO44" i="17"/>
  <c r="BM56" i="17"/>
  <c r="BL56" i="17"/>
  <c r="BK56" i="17"/>
  <c r="BO43" i="17"/>
  <c r="CD34" i="17"/>
  <c r="CB34" i="17"/>
  <c r="BZ34" i="17"/>
  <c r="BX34" i="17"/>
  <c r="AA34" i="17"/>
  <c r="BN34" i="17"/>
  <c r="BO27" i="17"/>
  <c r="BO26" i="17"/>
  <c r="BJ34" i="17"/>
  <c r="BO25" i="17"/>
  <c r="BO24" i="17"/>
  <c r="BO23" i="17"/>
  <c r="BO22" i="17"/>
  <c r="BO21" i="17"/>
  <c r="BO20" i="17"/>
  <c r="BO19" i="17"/>
  <c r="BO18" i="17"/>
  <c r="BO17" i="17"/>
  <c r="BO16" i="17"/>
  <c r="BO15" i="17"/>
  <c r="BM34" i="17"/>
  <c r="BO14" i="17"/>
  <c r="BO13" i="17"/>
  <c r="BL34" i="17"/>
  <c r="AA34" i="13"/>
  <c r="AA112" i="13"/>
  <c r="AA103" i="13"/>
  <c r="AA89" i="13"/>
  <c r="AA79" i="13"/>
  <c r="AA64" i="13"/>
  <c r="AA56" i="13"/>
  <c r="B49" i="16"/>
  <c r="B47" i="16"/>
  <c r="B45" i="16"/>
  <c r="B43" i="16"/>
  <c r="B41" i="16"/>
  <c r="G38" i="16"/>
  <c r="G36" i="16"/>
  <c r="B36" i="16"/>
  <c r="G33" i="16"/>
  <c r="G31" i="16"/>
  <c r="B31" i="16"/>
  <c r="G29" i="16"/>
  <c r="G27" i="16"/>
  <c r="B27" i="16"/>
  <c r="G24" i="16"/>
  <c r="G22" i="16"/>
  <c r="B22" i="16"/>
  <c r="G17" i="16"/>
  <c r="B17" i="16"/>
  <c r="G14" i="16"/>
  <c r="G12" i="16"/>
  <c r="B12" i="16"/>
  <c r="G9" i="16"/>
  <c r="G7" i="16"/>
  <c r="B7" i="16"/>
  <c r="BO31" i="13" l="1"/>
  <c r="BO28" i="13"/>
  <c r="BO32" i="13"/>
  <c r="AF115" i="13"/>
  <c r="AF115" i="17"/>
  <c r="CF112" i="17"/>
  <c r="CF103" i="17"/>
  <c r="CF89" i="17"/>
  <c r="CF79" i="17"/>
  <c r="CF64" i="17"/>
  <c r="CF56" i="17"/>
  <c r="CF34" i="17"/>
  <c r="BX115" i="17"/>
  <c r="BO103" i="17"/>
  <c r="AA115" i="13"/>
  <c r="BO76" i="17"/>
  <c r="BL79" i="17"/>
  <c r="BL115" i="17" s="1"/>
  <c r="BN115" i="17"/>
  <c r="BZ115" i="17"/>
  <c r="CB115" i="17"/>
  <c r="CD115" i="17"/>
  <c r="AA115" i="17"/>
  <c r="BO56" i="17"/>
  <c r="BJ115" i="17"/>
  <c r="BM115" i="17"/>
  <c r="BO64" i="17"/>
  <c r="BO73" i="17"/>
  <c r="BI112" i="17"/>
  <c r="BO112" i="17" s="1"/>
  <c r="BK34" i="17"/>
  <c r="BK115" i="17" s="1"/>
  <c r="BO60" i="17"/>
  <c r="BI89" i="17"/>
  <c r="BO89" i="17" s="1"/>
  <c r="BI34" i="17"/>
  <c r="BL13" i="13"/>
  <c r="BJ16" i="13"/>
  <c r="BJ15" i="13"/>
  <c r="BM16" i="13"/>
  <c r="BM15" i="13"/>
  <c r="BI12" i="13"/>
  <c r="BM110" i="13"/>
  <c r="BJ110" i="13"/>
  <c r="BI110" i="13"/>
  <c r="BI109" i="13"/>
  <c r="BI108" i="13"/>
  <c r="BJ107" i="13"/>
  <c r="BI107" i="13"/>
  <c r="BI99" i="13"/>
  <c r="BJ98" i="13"/>
  <c r="BJ101" i="13"/>
  <c r="BI101" i="13"/>
  <c r="BI100" i="13"/>
  <c r="BI98" i="13"/>
  <c r="BM87" i="13"/>
  <c r="BI87" i="13"/>
  <c r="BJ87" i="13"/>
  <c r="BI86" i="13"/>
  <c r="BJ85" i="13"/>
  <c r="BI85" i="13"/>
  <c r="BI84" i="13"/>
  <c r="BJ84" i="13"/>
  <c r="BI83" i="13"/>
  <c r="BI77" i="13"/>
  <c r="BI76" i="13"/>
  <c r="BJ77" i="13"/>
  <c r="BK76" i="13"/>
  <c r="BM76" i="13"/>
  <c r="BM75" i="13"/>
  <c r="BK75" i="13"/>
  <c r="BJ75" i="13"/>
  <c r="BI75" i="13"/>
  <c r="BI74" i="13"/>
  <c r="BJ74" i="13"/>
  <c r="BK74" i="13"/>
  <c r="BJ73" i="13"/>
  <c r="BK73" i="13"/>
  <c r="BI73" i="13"/>
  <c r="BN64" i="13"/>
  <c r="BM62" i="13"/>
  <c r="BK62" i="13"/>
  <c r="BJ62" i="13"/>
  <c r="BI62" i="13"/>
  <c r="BI61" i="13"/>
  <c r="BJ61" i="13"/>
  <c r="BM61" i="13"/>
  <c r="BK61" i="13"/>
  <c r="BI60" i="13"/>
  <c r="BM60" i="13"/>
  <c r="BK60" i="13"/>
  <c r="BJ60" i="13"/>
  <c r="BI54" i="13"/>
  <c r="BJ54" i="13"/>
  <c r="BI53" i="13"/>
  <c r="BJ53" i="13"/>
  <c r="BI52" i="13"/>
  <c r="BJ52" i="13"/>
  <c r="BJ51" i="13"/>
  <c r="BI51" i="13"/>
  <c r="BI50" i="13"/>
  <c r="BJ50" i="13"/>
  <c r="BJ49" i="13"/>
  <c r="BI49" i="13"/>
  <c r="BI48" i="13"/>
  <c r="BI47" i="13"/>
  <c r="BJ48" i="13"/>
  <c r="BJ47" i="13"/>
  <c r="BI46" i="13"/>
  <c r="BJ45" i="13"/>
  <c r="BI45" i="13"/>
  <c r="BK48" i="13"/>
  <c r="CF115" i="17" l="1"/>
  <c r="BO79" i="17"/>
  <c r="BI115" i="17"/>
  <c r="BO115" i="17" s="1"/>
  <c r="BO34" i="17"/>
  <c r="BI64" i="13"/>
  <c r="AD19" i="16" s="1"/>
  <c r="BJ64" i="13"/>
  <c r="AE19" i="16" s="1"/>
  <c r="BK64" i="13"/>
  <c r="AF19" i="16" s="1"/>
  <c r="BM64" i="13"/>
  <c r="AH19" i="16" s="1"/>
  <c r="BL64" i="13"/>
  <c r="AG19" i="16" s="1"/>
  <c r="BO60" i="13"/>
  <c r="BO62" i="13"/>
  <c r="BO61" i="13"/>
  <c r="BN56" i="13"/>
  <c r="BM54" i="13"/>
  <c r="BK54" i="13"/>
  <c r="BM53" i="13"/>
  <c r="BK53" i="13"/>
  <c r="BM52" i="13"/>
  <c r="BK52" i="13"/>
  <c r="BM51" i="13"/>
  <c r="BK51" i="13"/>
  <c r="BM50" i="13"/>
  <c r="BK50" i="13"/>
  <c r="BM49" i="13"/>
  <c r="BK49" i="13"/>
  <c r="BM48" i="13"/>
  <c r="BM47" i="13"/>
  <c r="BK47" i="13"/>
  <c r="BM46" i="13"/>
  <c r="BK46" i="13"/>
  <c r="BJ46" i="13"/>
  <c r="BM44" i="13"/>
  <c r="BK44" i="13"/>
  <c r="BK43" i="13"/>
  <c r="BM43" i="13"/>
  <c r="BM30" i="13"/>
  <c r="BK30" i="13"/>
  <c r="BI30" i="13"/>
  <c r="BJ30" i="13"/>
  <c r="BM29" i="13"/>
  <c r="BI29" i="13"/>
  <c r="BJ29" i="13"/>
  <c r="BN123" i="17" l="1"/>
  <c r="BM123" i="17"/>
  <c r="BO119" i="17"/>
  <c r="BL123" i="17"/>
  <c r="BK123" i="17"/>
  <c r="BO117" i="17"/>
  <c r="BJ123" i="17"/>
  <c r="BI123" i="17"/>
  <c r="BO64" i="13"/>
  <c r="AJ19" i="16" s="1"/>
  <c r="BK56" i="13"/>
  <c r="AF14" i="16" s="1"/>
  <c r="BM56" i="13"/>
  <c r="AH14" i="16" s="1"/>
  <c r="BL56" i="13"/>
  <c r="AG14" i="16" s="1"/>
  <c r="BO44" i="13"/>
  <c r="BO45" i="13"/>
  <c r="BO46" i="13"/>
  <c r="BO47" i="13"/>
  <c r="BO48" i="13"/>
  <c r="BO49" i="13"/>
  <c r="BO50" i="13"/>
  <c r="BO51" i="13"/>
  <c r="BO52" i="13"/>
  <c r="BO53" i="13"/>
  <c r="BO54" i="13"/>
  <c r="BO75" i="13"/>
  <c r="BO84" i="13"/>
  <c r="BO87" i="13"/>
  <c r="BO99" i="13"/>
  <c r="BO100" i="13"/>
  <c r="BN112" i="13"/>
  <c r="BI27" i="13"/>
  <c r="BM27" i="13"/>
  <c r="BJ27" i="13"/>
  <c r="BJ26" i="13"/>
  <c r="BI26" i="13"/>
  <c r="BI25" i="13"/>
  <c r="BJ25" i="13"/>
  <c r="BJ24" i="13"/>
  <c r="BI24" i="13"/>
  <c r="BK23" i="13"/>
  <c r="BJ23" i="13"/>
  <c r="BM23" i="13"/>
  <c r="BI23" i="13"/>
  <c r="BJ22" i="13"/>
  <c r="BM22" i="13"/>
  <c r="BM19" i="13"/>
  <c r="BK21" i="13"/>
  <c r="BJ14" i="13"/>
  <c r="BJ20" i="13"/>
  <c r="BI19" i="13"/>
  <c r="BI18" i="13"/>
  <c r="BO18" i="13" s="1"/>
  <c r="BM17" i="13"/>
  <c r="BL17" i="13"/>
  <c r="BO15" i="13"/>
  <c r="BO30" i="13"/>
  <c r="BO29" i="13"/>
  <c r="BO121" i="17" l="1"/>
  <c r="BT123" i="17"/>
  <c r="BO12" i="13"/>
  <c r="BK34" i="13"/>
  <c r="AF9" i="16" s="1"/>
  <c r="BO13" i="13"/>
  <c r="BO27" i="13"/>
  <c r="BO26" i="13"/>
  <c r="BO25" i="13"/>
  <c r="BO24" i="13"/>
  <c r="BO23" i="13"/>
  <c r="BO22" i="13"/>
  <c r="BO21" i="13"/>
  <c r="BJ34" i="13"/>
  <c r="AE9" i="16" s="1"/>
  <c r="BO20" i="13"/>
  <c r="BN34" i="13"/>
  <c r="AI9" i="16" s="1"/>
  <c r="BO19" i="13"/>
  <c r="BO17" i="13"/>
  <c r="BO16" i="13"/>
  <c r="BJ76" i="13"/>
  <c r="BO76" i="13" s="1"/>
  <c r="BM77" i="13"/>
  <c r="BL79" i="13"/>
  <c r="AG24" i="16" s="1"/>
  <c r="BK77" i="13"/>
  <c r="BM74" i="13"/>
  <c r="BO74" i="13" s="1"/>
  <c r="BJ83" i="13"/>
  <c r="BM73" i="13"/>
  <c r="BO73" i="13" s="1"/>
  <c r="BK112" i="13"/>
  <c r="AF38" i="16" s="1"/>
  <c r="BL112" i="13"/>
  <c r="AG38" i="16" s="1"/>
  <c r="BJ112" i="13"/>
  <c r="AE38" i="16" s="1"/>
  <c r="BO109" i="13"/>
  <c r="BO108" i="13"/>
  <c r="BK103" i="13"/>
  <c r="AF33" i="16" s="1"/>
  <c r="BM101" i="13"/>
  <c r="BJ103" i="13"/>
  <c r="AE33" i="16" s="1"/>
  <c r="BN103" i="13"/>
  <c r="BO98" i="13"/>
  <c r="BL85" i="13"/>
  <c r="BM83" i="13"/>
  <c r="BJ86" i="13"/>
  <c r="BO86" i="13" s="1"/>
  <c r="BN89" i="13"/>
  <c r="BM34" i="13"/>
  <c r="AH9" i="16" s="1"/>
  <c r="BL34" i="13"/>
  <c r="AG9" i="16" s="1"/>
  <c r="BJ43" i="13"/>
  <c r="BJ56" i="13" s="1"/>
  <c r="AE14" i="16" s="1"/>
  <c r="BI43" i="13"/>
  <c r="CD34" i="13"/>
  <c r="CB34" i="13"/>
  <c r="BZ34" i="13"/>
  <c r="BX34" i="13"/>
  <c r="CD56" i="13"/>
  <c r="CB56" i="13"/>
  <c r="BZ56" i="13"/>
  <c r="BX56" i="13"/>
  <c r="CD64" i="13"/>
  <c r="CB64" i="13"/>
  <c r="BZ64" i="13"/>
  <c r="BX64" i="13"/>
  <c r="CD79" i="13"/>
  <c r="CB79" i="13"/>
  <c r="BZ79" i="13"/>
  <c r="BX79" i="13"/>
  <c r="BX89" i="13"/>
  <c r="BZ89" i="13"/>
  <c r="CB89" i="13"/>
  <c r="CD89" i="13"/>
  <c r="BX103" i="13"/>
  <c r="BZ103" i="13"/>
  <c r="CB103" i="13"/>
  <c r="CD103" i="13"/>
  <c r="BX112" i="13"/>
  <c r="L20" i="15"/>
  <c r="P20" i="15"/>
  <c r="T20" i="15"/>
  <c r="BT31" i="17" l="1"/>
  <c r="BT30" i="17"/>
  <c r="BT27" i="17"/>
  <c r="BT28" i="17"/>
  <c r="BO14" i="13"/>
  <c r="BX115" i="13"/>
  <c r="BT74" i="17"/>
  <c r="BT86" i="17"/>
  <c r="BT32" i="17"/>
  <c r="BT29" i="17"/>
  <c r="BT77" i="17"/>
  <c r="BT43" i="17"/>
  <c r="BT117" i="17"/>
  <c r="BT107" i="17"/>
  <c r="BT18" i="17"/>
  <c r="BT16" i="17"/>
  <c r="BT61" i="17"/>
  <c r="BT22" i="17"/>
  <c r="BT23" i="17"/>
  <c r="BT25" i="17"/>
  <c r="BT101" i="17"/>
  <c r="BT19" i="17"/>
  <c r="BT51" i="17"/>
  <c r="BT99" i="17"/>
  <c r="BT87" i="17"/>
  <c r="BT83" i="17"/>
  <c r="BT76" i="17"/>
  <c r="BT62" i="17"/>
  <c r="BT24" i="17"/>
  <c r="BT100" i="17"/>
  <c r="BT49" i="17"/>
  <c r="BT46" i="17"/>
  <c r="BT13" i="17"/>
  <c r="BT54" i="17"/>
  <c r="BT109" i="17"/>
  <c r="BT112" i="17"/>
  <c r="BT73" i="17"/>
  <c r="BT108" i="17"/>
  <c r="BT115" i="17"/>
  <c r="BT84" i="17"/>
  <c r="BT89" i="17"/>
  <c r="BT98" i="17"/>
  <c r="BT48" i="17"/>
  <c r="BT75" i="17"/>
  <c r="BT14" i="17"/>
  <c r="BT64" i="17"/>
  <c r="BT21" i="17"/>
  <c r="BT85" i="17"/>
  <c r="BT60" i="17"/>
  <c r="BT15" i="17"/>
  <c r="BT50" i="17"/>
  <c r="BT110" i="17"/>
  <c r="BT119" i="17"/>
  <c r="BT34" i="17"/>
  <c r="BT26" i="17"/>
  <c r="BT52" i="17"/>
  <c r="BT12" i="17"/>
  <c r="BT17" i="17"/>
  <c r="BT56" i="17"/>
  <c r="BT45" i="17"/>
  <c r="BT47" i="17"/>
  <c r="BT79" i="17"/>
  <c r="BT103" i="17"/>
  <c r="BT53" i="17"/>
  <c r="BT20" i="17"/>
  <c r="BT44" i="17"/>
  <c r="BO107" i="13"/>
  <c r="BI34" i="13"/>
  <c r="BO77" i="13"/>
  <c r="BO43" i="13"/>
  <c r="BO85" i="13"/>
  <c r="BK79" i="13"/>
  <c r="AF24" i="16" s="1"/>
  <c r="BO83" i="13"/>
  <c r="BL103" i="13"/>
  <c r="AG33" i="16" s="1"/>
  <c r="BO101" i="13"/>
  <c r="BO110" i="13"/>
  <c r="BJ79" i="13"/>
  <c r="AE24" i="16" s="1"/>
  <c r="BM103" i="13"/>
  <c r="AH33" i="16" s="1"/>
  <c r="BM79" i="13"/>
  <c r="AH24" i="16" s="1"/>
  <c r="BL89" i="13"/>
  <c r="AG29" i="16" s="1"/>
  <c r="BK89" i="13"/>
  <c r="AF29" i="16" s="1"/>
  <c r="BM89" i="13"/>
  <c r="AH29" i="16" s="1"/>
  <c r="BI112" i="13"/>
  <c r="AD38" i="16" s="1"/>
  <c r="BI103" i="13"/>
  <c r="AD33" i="16" s="1"/>
  <c r="BI89" i="13"/>
  <c r="AD29" i="16" s="1"/>
  <c r="BJ89" i="13"/>
  <c r="AE29" i="16" s="1"/>
  <c r="BN79" i="13"/>
  <c r="BN115" i="13" s="1"/>
  <c r="AI41" i="16" s="1"/>
  <c r="BI79" i="13"/>
  <c r="AD24" i="16" s="1"/>
  <c r="BM112" i="13"/>
  <c r="AH38" i="16" s="1"/>
  <c r="CF34" i="13"/>
  <c r="CF56" i="13"/>
  <c r="CF64" i="13"/>
  <c r="CF79" i="13"/>
  <c r="CF89" i="13"/>
  <c r="CF103" i="13"/>
  <c r="BT121" i="17" l="1"/>
  <c r="BO34" i="13"/>
  <c r="AJ9" i="16" s="1"/>
  <c r="AD9" i="16"/>
  <c r="BO56" i="13"/>
  <c r="AJ14" i="16" s="1"/>
  <c r="AD14" i="16"/>
  <c r="BJ115" i="13"/>
  <c r="AE41" i="16" s="1"/>
  <c r="BK115" i="13"/>
  <c r="BL115" i="13"/>
  <c r="AG41" i="16" s="1"/>
  <c r="BM115" i="13"/>
  <c r="AH41" i="16" s="1"/>
  <c r="BO112" i="13"/>
  <c r="BI115" i="13"/>
  <c r="AD41" i="16" s="1"/>
  <c r="BO103" i="13"/>
  <c r="AJ33" i="16" s="1"/>
  <c r="BO89" i="13"/>
  <c r="AJ29" i="16" s="1"/>
  <c r="BO79" i="13"/>
  <c r="AJ24" i="16" s="1"/>
  <c r="BZ112" i="13"/>
  <c r="BZ115" i="13" s="1"/>
  <c r="CB112" i="13"/>
  <c r="CB115" i="13" s="1"/>
  <c r="CD112" i="13"/>
  <c r="CD115" i="13" s="1"/>
  <c r="BO115" i="13" l="1"/>
  <c r="AJ41" i="16" s="1"/>
  <c r="AF41" i="16"/>
  <c r="AJ38" i="16"/>
  <c r="CF112" i="13"/>
  <c r="CF115" i="13" s="1"/>
  <c r="BJ123" i="13" l="1"/>
  <c r="AE49" i="16" s="1"/>
  <c r="BI123" i="13"/>
  <c r="BL123" i="13"/>
  <c r="AG49" i="16" s="1"/>
  <c r="BN123" i="13"/>
  <c r="AI49" i="16" s="1"/>
  <c r="BM123" i="13"/>
  <c r="AH49" i="16" s="1"/>
  <c r="BK123" i="13"/>
  <c r="AF49" i="16" s="1"/>
  <c r="BO119" i="13"/>
  <c r="AJ45" i="16" s="1"/>
  <c r="BO117" i="13"/>
  <c r="AJ43" i="16" s="1"/>
  <c r="AD49" i="16" l="1"/>
  <c r="BT123" i="13"/>
  <c r="AO49" i="16" s="1"/>
  <c r="BO121" i="13"/>
  <c r="BT32" i="13" l="1"/>
  <c r="BT31" i="13"/>
  <c r="BT29" i="13"/>
  <c r="BT28" i="13"/>
  <c r="BT115" i="13"/>
  <c r="AJ47" i="16"/>
  <c r="BT100" i="13"/>
  <c r="BT119" i="13"/>
  <c r="AO45" i="16" s="1"/>
  <c r="BT53" i="13"/>
  <c r="BT18" i="13"/>
  <c r="BT89" i="13"/>
  <c r="AO29" i="16" s="1"/>
  <c r="BT23" i="13"/>
  <c r="BT54" i="13"/>
  <c r="BT112" i="13"/>
  <c r="AO38" i="16" s="1"/>
  <c r="BT26" i="13"/>
  <c r="BT73" i="13"/>
  <c r="BT44" i="13"/>
  <c r="BT87" i="13"/>
  <c r="BT56" i="13"/>
  <c r="AO14" i="16" s="1"/>
  <c r="BT77" i="13"/>
  <c r="BT117" i="13"/>
  <c r="AO43" i="16" s="1"/>
  <c r="BT27" i="13"/>
  <c r="BT30" i="13"/>
  <c r="BT52" i="13"/>
  <c r="BT108" i="13"/>
  <c r="BT98" i="13"/>
  <c r="BT43" i="13"/>
  <c r="BT110" i="13"/>
  <c r="BT13" i="13"/>
  <c r="BT84" i="13"/>
  <c r="BT75" i="13"/>
  <c r="BT109" i="13"/>
  <c r="BT62" i="13"/>
  <c r="BT47" i="13"/>
  <c r="BT19" i="13"/>
  <c r="BT21" i="13"/>
  <c r="BT16" i="13"/>
  <c r="BT14" i="13"/>
  <c r="BT74" i="13"/>
  <c r="BT50" i="13"/>
  <c r="BT48" i="13"/>
  <c r="BT64" i="13"/>
  <c r="AO19" i="16" s="1"/>
  <c r="BT49" i="13"/>
  <c r="BT24" i="13"/>
  <c r="BT12" i="13"/>
  <c r="BT22" i="13"/>
  <c r="BT86" i="13"/>
  <c r="BT101" i="13"/>
  <c r="BT60" i="13"/>
  <c r="BT103" i="13"/>
  <c r="AO33" i="16" s="1"/>
  <c r="BT61" i="13"/>
  <c r="BT17" i="13"/>
  <c r="BT20" i="13"/>
  <c r="BT34" i="13"/>
  <c r="AO9" i="16" s="1"/>
  <c r="BT107" i="13"/>
  <c r="BT51" i="13"/>
  <c r="BT79" i="13"/>
  <c r="AO24" i="16" s="1"/>
  <c r="BT46" i="13"/>
  <c r="BT83" i="13"/>
  <c r="BT25" i="13"/>
  <c r="BT15" i="13"/>
  <c r="BT45" i="13"/>
  <c r="BT85" i="13"/>
  <c r="BT99" i="13"/>
  <c r="BT76" i="13"/>
  <c r="BT121" i="13" l="1"/>
  <c r="AO47" i="16" s="1"/>
  <c r="AO4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Alec Dawson Shepherd</author>
  </authors>
  <commentList>
    <comment ref="AA6" authorId="0" shapeId="0" xr:uid="{E84CF602-E220-4043-AFB0-8AE3E78FD3A7}">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6" authorId="0" shapeId="0" xr:uid="{F36A8F34-7A3A-40B7-85D9-CBD4B3BC1042}">
      <text>
        <r>
          <rPr>
            <b/>
            <sz val="9"/>
            <color indexed="81"/>
            <rFont val="Tahoma"/>
            <family val="2"/>
          </rPr>
          <t>Alec Dawson Shepherd:</t>
        </r>
        <r>
          <rPr>
            <sz val="9"/>
            <color indexed="81"/>
            <rFont val="Tahoma"/>
            <family val="2"/>
          </rPr>
          <t xml:space="preserve">
The estimated percentage extent to which the action has been completed.</t>
        </r>
      </text>
    </comment>
    <comment ref="AZ9" authorId="0" shapeId="0" xr:uid="{05288E02-14E2-4E21-B9AE-A3EB13B5201E}">
      <text>
        <r>
          <rPr>
            <b/>
            <sz val="9"/>
            <color indexed="81"/>
            <rFont val="Tahoma"/>
            <family val="2"/>
          </rPr>
          <t>Alec Dawson Shepherd:</t>
        </r>
        <r>
          <rPr>
            <sz val="9"/>
            <color indexed="81"/>
            <rFont val="Tahoma"/>
            <family val="2"/>
          </rPr>
          <t xml:space="preserve">
Council</t>
        </r>
      </text>
    </comment>
    <comment ref="BA9" authorId="0" shapeId="0" xr:uid="{55CF4FF1-4136-4784-B2CB-86FA6F80BA00}">
      <text>
        <r>
          <rPr>
            <b/>
            <sz val="9"/>
            <color indexed="81"/>
            <rFont val="Tahoma"/>
            <family val="2"/>
          </rPr>
          <t>Alec Dawson Shepherd:</t>
        </r>
        <r>
          <rPr>
            <sz val="9"/>
            <color indexed="81"/>
            <rFont val="Tahoma"/>
            <family val="2"/>
          </rPr>
          <t xml:space="preserve">
General Secretariat</t>
        </r>
      </text>
    </comment>
    <comment ref="BB9" authorId="0" shapeId="0" xr:uid="{8269D942-1B67-4DE4-8175-433E409CC4B4}">
      <text>
        <r>
          <rPr>
            <b/>
            <sz val="9"/>
            <color indexed="81"/>
            <rFont val="Tahoma"/>
            <family val="2"/>
          </rPr>
          <t>Alec Dawson Shepherd:</t>
        </r>
        <r>
          <rPr>
            <sz val="9"/>
            <color indexed="81"/>
            <rFont val="Tahoma"/>
            <family val="2"/>
          </rPr>
          <t xml:space="preserve">
Committee for the Settlement of Disputes</t>
        </r>
      </text>
    </comment>
    <comment ref="BC9" authorId="0" shapeId="0" xr:uid="{DB3A829E-6C2D-42D7-8C16-FE89C3289A8A}">
      <text>
        <r>
          <rPr>
            <b/>
            <sz val="9"/>
            <color indexed="81"/>
            <rFont val="Tahoma"/>
            <family val="2"/>
          </rPr>
          <t>Alec Dawson Shepherd:</t>
        </r>
        <r>
          <rPr>
            <sz val="9"/>
            <color indexed="81"/>
            <rFont val="Tahoma"/>
            <family val="2"/>
          </rPr>
          <t xml:space="preserve">
Contracting Parties</t>
        </r>
      </text>
    </comment>
    <comment ref="BD9" authorId="0" shapeId="0" xr:uid="{88973354-7770-4848-B687-4A5E80E6663C}">
      <text>
        <r>
          <rPr>
            <b/>
            <sz val="9"/>
            <color indexed="81"/>
            <rFont val="Tahoma"/>
            <family val="2"/>
          </rPr>
          <t>Alec Dawson Shepherd:</t>
        </r>
        <r>
          <rPr>
            <sz val="9"/>
            <color indexed="81"/>
            <rFont val="Tahoma"/>
            <family val="2"/>
          </rPr>
          <t xml:space="preserve">
Competent Authority (National)</t>
        </r>
      </text>
    </comment>
    <comment ref="BE9" authorId="0" shapeId="0" xr:uid="{00845BE1-EC78-4CF7-BC72-AC67806A2046}">
      <text>
        <r>
          <rPr>
            <b/>
            <sz val="9"/>
            <color indexed="81"/>
            <rFont val="Tahoma"/>
            <family val="2"/>
          </rPr>
          <t>Alec Dawson Shepherd:</t>
        </r>
        <r>
          <rPr>
            <sz val="9"/>
            <color indexed="81"/>
            <rFont val="Tahoma"/>
            <family val="2"/>
          </rPr>
          <t xml:space="preserve">
Private Sector</t>
        </r>
      </text>
    </comment>
    <comment ref="BF9" authorId="0" shapeId="0" xr:uid="{E1ACE6FD-4807-4A5C-B970-65E8B86C0404}">
      <text>
        <r>
          <rPr>
            <b/>
            <sz val="9"/>
            <color indexed="81"/>
            <rFont val="Tahoma"/>
            <family val="2"/>
          </rPr>
          <t xml:space="preserve">Alec Dawson Shepherd:
</t>
        </r>
        <r>
          <rPr>
            <sz val="9"/>
            <color indexed="81"/>
            <rFont val="Tahoma"/>
            <family val="2"/>
          </rPr>
          <t>Civil Society</t>
        </r>
      </text>
    </comment>
    <comment ref="BG9" authorId="0" shapeId="0" xr:uid="{2EDC780F-0785-4578-BDCB-555EC0C33C0B}">
      <text>
        <r>
          <rPr>
            <b/>
            <sz val="9"/>
            <color indexed="81"/>
            <rFont val="Tahoma"/>
            <family val="2"/>
          </rPr>
          <t>Alec Dawson Shepherd:</t>
        </r>
        <r>
          <rPr>
            <sz val="9"/>
            <color indexed="81"/>
            <rFont val="Tahoma"/>
            <family val="2"/>
          </rPr>
          <t xml:space="preserve">
Consultant/Contractor</t>
        </r>
      </text>
    </comment>
    <comment ref="BI12" authorId="0" shapeId="0" xr:uid="{1958C8DE-5D51-4237-A305-CED9C1D04C95}">
      <text>
        <r>
          <rPr>
            <b/>
            <sz val="9"/>
            <color indexed="81"/>
            <rFont val="Tahoma"/>
            <charset val="1"/>
          </rPr>
          <t>Alec Dawson Shepherd:</t>
        </r>
        <r>
          <rPr>
            <sz val="9"/>
            <color indexed="81"/>
            <rFont val="Tahoma"/>
            <charset val="1"/>
          </rPr>
          <t xml:space="preserve">
Coordination of capacity building activities.</t>
        </r>
      </text>
    </comment>
    <comment ref="BL12" authorId="0" shapeId="0" xr:uid="{8CEEBF66-3DB0-4D26-9148-4CC5D13A2D7A}">
      <text>
        <r>
          <rPr>
            <b/>
            <sz val="9"/>
            <color indexed="81"/>
            <rFont val="Tahoma"/>
            <charset val="1"/>
          </rPr>
          <t>Alec Dawson Shepherd:</t>
        </r>
        <r>
          <rPr>
            <sz val="9"/>
            <color indexed="81"/>
            <rFont val="Tahoma"/>
            <charset val="1"/>
          </rPr>
          <t xml:space="preserve">
2 x Regional and national Committees training (8 x 2 x $US3,000).</t>
        </r>
      </text>
    </comment>
    <comment ref="BN12" authorId="0" shapeId="0" xr:uid="{3E2994B3-9660-40DE-93D2-B7BC9D28D3CD}">
      <text>
        <r>
          <rPr>
            <b/>
            <sz val="9"/>
            <color indexed="81"/>
            <rFont val="Tahoma"/>
          </rPr>
          <t>Alec Dawson Shepherd:</t>
        </r>
        <r>
          <rPr>
            <sz val="9"/>
            <color indexed="81"/>
            <rFont val="Tahoma"/>
          </rPr>
          <t xml:space="preserve">
Cross-costed under IV.02.18.</t>
        </r>
      </text>
    </comment>
    <comment ref="BI13" authorId="0" shapeId="0" xr:uid="{5ED7D17B-9914-46B6-8AF4-B485897DAC87}">
      <text>
        <r>
          <rPr>
            <b/>
            <sz val="9"/>
            <color indexed="81"/>
            <rFont val="Tahoma"/>
            <charset val="1"/>
          </rPr>
          <t>Alec Dawson Shepherd:</t>
        </r>
        <r>
          <rPr>
            <sz val="9"/>
            <color indexed="81"/>
            <rFont val="Tahoma"/>
            <charset val="1"/>
          </rPr>
          <t xml:space="preserve">
Coordination of capacity building activities.</t>
        </r>
      </text>
    </comment>
    <comment ref="BL13" authorId="0" shapeId="0" xr:uid="{1548B2E3-9BC7-41F9-A053-7FA5D8F94B93}">
      <text>
        <r>
          <rPr>
            <b/>
            <sz val="9"/>
            <color indexed="81"/>
            <rFont val="Tahoma"/>
            <charset val="1"/>
          </rPr>
          <t>Alec Dawson Shepherd:</t>
        </r>
        <r>
          <rPr>
            <sz val="9"/>
            <color indexed="81"/>
            <rFont val="Tahoma"/>
            <charset val="1"/>
          </rPr>
          <t xml:space="preserve">
2 x Regional Committee trainings (1 x 2 x $US3,000).</t>
        </r>
      </text>
    </comment>
    <comment ref="BN13" authorId="0" shapeId="0" xr:uid="{E370AF1B-E24F-4F97-86D1-5C72FB3262D3}">
      <text>
        <r>
          <rPr>
            <b/>
            <sz val="9"/>
            <color indexed="81"/>
            <rFont val="Tahoma"/>
          </rPr>
          <t>Alec Dawson Shepherd:</t>
        </r>
        <r>
          <rPr>
            <sz val="9"/>
            <color indexed="81"/>
            <rFont val="Tahoma"/>
          </rPr>
          <t xml:space="preserve">
Cross-costed under IV.02.18.</t>
        </r>
      </text>
    </comment>
    <comment ref="BI14" authorId="0" shapeId="0" xr:uid="{0420E8A9-DFF0-45DC-AC91-BF16698EFA3D}">
      <text>
        <r>
          <rPr>
            <b/>
            <sz val="9"/>
            <color indexed="81"/>
            <rFont val="Tahoma"/>
            <charset val="1"/>
          </rPr>
          <t>Alec Dawson Shepherd:</t>
        </r>
        <r>
          <rPr>
            <sz val="9"/>
            <color indexed="81"/>
            <rFont val="Tahoma"/>
            <charset val="1"/>
          </rPr>
          <t xml:space="preserve">
Regional Guidelines and standards (1x$US10,000) </t>
        </r>
      </text>
    </comment>
    <comment ref="BJ14" authorId="0" shapeId="0" xr:uid="{F7D737A4-B2B9-49F5-B2F8-ED2B80A6673D}">
      <text>
        <r>
          <rPr>
            <b/>
            <sz val="9"/>
            <color indexed="81"/>
            <rFont val="Tahoma"/>
            <charset val="1"/>
          </rPr>
          <t>Alec Dawson Shepherd:</t>
        </r>
        <r>
          <rPr>
            <sz val="9"/>
            <color indexed="81"/>
            <rFont val="Tahoma"/>
            <charset val="1"/>
          </rPr>
          <t xml:space="preserve">
Legal direction, if required (7 x $US1,000)</t>
        </r>
      </text>
    </comment>
    <comment ref="BL14" authorId="0" shapeId="0" xr:uid="{3744D13F-BB1F-465C-81B9-BE8D1FD6D203}">
      <text>
        <r>
          <rPr>
            <b/>
            <sz val="9"/>
            <color indexed="81"/>
            <rFont val="Tahoma"/>
            <charset val="1"/>
          </rPr>
          <t>Alec Dawson Shepherd:</t>
        </r>
        <r>
          <rPr>
            <sz val="9"/>
            <color indexed="81"/>
            <rFont val="Tahoma"/>
            <charset val="1"/>
          </rPr>
          <t xml:space="preserve">
2 x Regional and national  trainings (8 x 2 x $US3,000).</t>
        </r>
      </text>
    </comment>
    <comment ref="BM14" authorId="0" shapeId="0" xr:uid="{BE718321-08B0-4A4B-B176-653C54138C9E}">
      <text>
        <r>
          <rPr>
            <b/>
            <sz val="9"/>
            <color indexed="81"/>
            <rFont val="Tahoma"/>
            <charset val="1"/>
          </rPr>
          <t>Alec Dawson Shepherd:</t>
        </r>
        <r>
          <rPr>
            <sz val="9"/>
            <color indexed="81"/>
            <rFont val="Tahoma"/>
            <charset val="1"/>
          </rPr>
          <t xml:space="preserve">
1 x regional and 7 x national demonstration pilot fisheries certificaations for 2 fisheries each (8 x 2 x $US25,000)</t>
        </r>
      </text>
    </comment>
    <comment ref="BN14" authorId="0" shapeId="0" xr:uid="{06AE1681-4522-445A-8461-8A40B5DD6CC6}">
      <text>
        <r>
          <rPr>
            <b/>
            <sz val="9"/>
            <color indexed="81"/>
            <rFont val="Tahoma"/>
          </rPr>
          <t>Alec Dawson Shepherd:</t>
        </r>
        <r>
          <rPr>
            <sz val="9"/>
            <color indexed="81"/>
            <rFont val="Tahoma"/>
          </rPr>
          <t xml:space="preserve">
Cross-costed under IV.02.18.</t>
        </r>
      </text>
    </comment>
    <comment ref="BI15" authorId="0" shapeId="0" xr:uid="{AD0F6587-C4F8-4645-AEEF-A5C6949B1ABF}">
      <text>
        <r>
          <rPr>
            <b/>
            <sz val="9"/>
            <color indexed="81"/>
            <rFont val="Tahoma"/>
            <charset val="1"/>
          </rPr>
          <t>Alec Dawson Shepherd:</t>
        </r>
        <r>
          <rPr>
            <sz val="9"/>
            <color indexed="81"/>
            <rFont val="Tahoma"/>
            <charset val="1"/>
          </rPr>
          <t xml:space="preserve">
Support for development of National Committees Constitution guidelines (1 x $US 5,000) and support for drafting 7 national committee constitutions (7 x $US2000)</t>
        </r>
      </text>
    </comment>
    <comment ref="BJ15" authorId="0" shapeId="0" xr:uid="{9DA63FF2-D619-4F91-BA7E-1D9ACDBF9878}">
      <text>
        <r>
          <rPr>
            <b/>
            <sz val="9"/>
            <color indexed="81"/>
            <rFont val="Tahoma"/>
            <charset val="1"/>
          </rPr>
          <t>Alec Dawson Shepherd:</t>
        </r>
        <r>
          <rPr>
            <sz val="9"/>
            <color indexed="81"/>
            <rFont val="Tahoma"/>
            <charset val="1"/>
          </rPr>
          <t xml:space="preserve">
If legal direction required.</t>
        </r>
      </text>
    </comment>
    <comment ref="BK15" authorId="0" shapeId="0" xr:uid="{35CD24FE-8743-4BCF-82AC-19C75131EF3C}">
      <text>
        <r>
          <rPr>
            <b/>
            <sz val="9"/>
            <color indexed="81"/>
            <rFont val="Tahoma"/>
            <charset val="1"/>
          </rPr>
          <t>Alec Dawson Shepherd:</t>
        </r>
        <r>
          <rPr>
            <sz val="9"/>
            <color indexed="81"/>
            <rFont val="Tahoma"/>
            <charset val="1"/>
          </rPr>
          <t xml:space="preserve">
Two yearly  meetings for 5 years: Secretariat travel + expenses : 5 x 2 x 7 x 1 x $US3,,000
Committee travel + expenses 5 x 2 x 7  x 10 x $US1,000  
</t>
        </r>
      </text>
    </comment>
    <comment ref="BL15" authorId="0" shapeId="0" xr:uid="{C41D2175-4EC3-4AC7-902F-342B85F6F8D2}">
      <text>
        <r>
          <rPr>
            <b/>
            <sz val="9"/>
            <color indexed="81"/>
            <rFont val="Tahoma"/>
            <charset val="1"/>
          </rPr>
          <t>Alec Dawson Shepherd:</t>
        </r>
        <r>
          <rPr>
            <sz val="9"/>
            <color indexed="81"/>
            <rFont val="Tahoma"/>
            <charset val="1"/>
          </rPr>
          <t xml:space="preserve">
2 x Regional and national Committees training (8 x 2 x $US3,000).</t>
        </r>
      </text>
    </comment>
    <comment ref="BN15" authorId="0" shapeId="0" xr:uid="{BE64F498-47A6-4731-AD09-DE7EC2A07072}">
      <text>
        <r>
          <rPr>
            <b/>
            <sz val="9"/>
            <color indexed="81"/>
            <rFont val="Tahoma"/>
          </rPr>
          <t>Alec Dawson Shepherd:</t>
        </r>
        <r>
          <rPr>
            <sz val="9"/>
            <color indexed="81"/>
            <rFont val="Tahoma"/>
          </rPr>
          <t xml:space="preserve">
Cross-costed under IV.02.18.</t>
        </r>
      </text>
    </comment>
    <comment ref="BI16" authorId="0" shapeId="0" xr:uid="{F899699E-0761-46BC-A12A-329810D59DCF}">
      <text>
        <r>
          <rPr>
            <b/>
            <sz val="9"/>
            <color indexed="81"/>
            <rFont val="Tahoma"/>
            <charset val="1"/>
          </rPr>
          <t>Alec Dawson Shepherd:</t>
        </r>
        <r>
          <rPr>
            <sz val="9"/>
            <color indexed="81"/>
            <rFont val="Tahoma"/>
            <charset val="1"/>
          </rPr>
          <t xml:space="preserve">
Support for development of Regional Committee  Constitution guidelines (1 x $US 5,000)</t>
        </r>
      </text>
    </comment>
    <comment ref="BJ16" authorId="0" shapeId="0" xr:uid="{5620A631-3794-4180-A87E-22CECB0AC7A4}">
      <text>
        <r>
          <rPr>
            <b/>
            <sz val="9"/>
            <color indexed="81"/>
            <rFont val="Tahoma"/>
            <charset val="1"/>
          </rPr>
          <t>Alec Dawson Shepherd:</t>
        </r>
        <r>
          <rPr>
            <sz val="9"/>
            <color indexed="81"/>
            <rFont val="Tahoma"/>
            <charset val="1"/>
          </rPr>
          <t xml:space="preserve">
If legal direction required.</t>
        </r>
      </text>
    </comment>
    <comment ref="BK16" authorId="0" shapeId="0" xr:uid="{54051342-C48E-4072-9C2F-464A0396FC5D}">
      <text>
        <r>
          <rPr>
            <b/>
            <sz val="9"/>
            <color indexed="81"/>
            <rFont val="Tahoma"/>
            <charset val="1"/>
          </rPr>
          <t>Alec Dawson Shepherd:</t>
        </r>
        <r>
          <rPr>
            <sz val="9"/>
            <color indexed="81"/>
            <rFont val="Tahoma"/>
            <charset val="1"/>
          </rPr>
          <t xml:space="preserve">
Yearly meetings for 5 years:
Secretariat travel + expenses : 5 x 1 x $US3,,000
Committee travel + expenses 5 x 10 x $US5,000  
</t>
        </r>
      </text>
    </comment>
    <comment ref="BL16" authorId="0" shapeId="0" xr:uid="{7FEA1A33-5B14-4B65-810D-74EC3CAF020E}">
      <text>
        <r>
          <rPr>
            <b/>
            <sz val="9"/>
            <color indexed="81"/>
            <rFont val="Tahoma"/>
            <charset val="1"/>
          </rPr>
          <t>Alec Dawson Shepherd:</t>
        </r>
        <r>
          <rPr>
            <sz val="9"/>
            <color indexed="81"/>
            <rFont val="Tahoma"/>
            <charset val="1"/>
          </rPr>
          <t xml:space="preserve">
2 x Regional Committee trainings (1 x 2 x $US3,000).</t>
        </r>
      </text>
    </comment>
    <comment ref="BN16" authorId="0" shapeId="0" xr:uid="{03D49AE0-10C7-4F17-B63A-46DFD54E5EE8}">
      <text>
        <r>
          <rPr>
            <b/>
            <sz val="9"/>
            <color indexed="81"/>
            <rFont val="Tahoma"/>
          </rPr>
          <t>Alec Dawson Shepherd:</t>
        </r>
        <r>
          <rPr>
            <sz val="9"/>
            <color indexed="81"/>
            <rFont val="Tahoma"/>
          </rPr>
          <t xml:space="preserve">
Cross-costed under IV.02.18.</t>
        </r>
      </text>
    </comment>
    <comment ref="BI17" authorId="0" shapeId="0" xr:uid="{7EAB39AD-4AF0-45C2-B6D7-65A29924AE1D}">
      <text>
        <r>
          <rPr>
            <b/>
            <sz val="9"/>
            <color indexed="81"/>
            <rFont val="Tahoma"/>
          </rPr>
          <t>Alec Dawson Shepherd:</t>
        </r>
        <r>
          <rPr>
            <sz val="9"/>
            <color indexed="81"/>
            <rFont val="Tahoma"/>
          </rPr>
          <t xml:space="preserve">
Includes 5 years build, operate, transfer support for ongoing software development etc.</t>
        </r>
      </text>
    </comment>
    <comment ref="BL17" authorId="0" shapeId="0" xr:uid="{5701E1CA-5AF1-408B-ACAE-3385220C7121}">
      <text>
        <r>
          <rPr>
            <b/>
            <sz val="9"/>
            <color indexed="81"/>
            <rFont val="Tahoma"/>
            <charset val="1"/>
          </rPr>
          <t>Alec Dawson Shepherd:</t>
        </r>
        <r>
          <rPr>
            <sz val="9"/>
            <color indexed="81"/>
            <rFont val="Tahoma"/>
            <charset val="1"/>
          </rPr>
          <t xml:space="preserve">
Annual traning in database use.</t>
        </r>
      </text>
    </comment>
    <comment ref="BM17" authorId="0" shapeId="0" xr:uid="{E2F0F88D-7342-4E83-A006-1B940924179A}">
      <text>
        <r>
          <rPr>
            <b/>
            <sz val="9"/>
            <color indexed="81"/>
            <rFont val="Tahoma"/>
          </rPr>
          <t>Alec Dawson Shepherd:</t>
        </r>
        <r>
          <rPr>
            <sz val="9"/>
            <color indexed="81"/>
            <rFont val="Tahoma"/>
          </rPr>
          <t xml:space="preserve">
Servers, licenses, etc</t>
        </r>
      </text>
    </comment>
    <comment ref="BN17" authorId="0" shapeId="0" xr:uid="{EF0C944D-C410-486E-A35F-35337135C619}">
      <text>
        <r>
          <rPr>
            <b/>
            <sz val="9"/>
            <color indexed="81"/>
            <rFont val="Tahoma"/>
          </rPr>
          <t>Alec Dawson Shepherd:</t>
        </r>
        <r>
          <rPr>
            <sz val="9"/>
            <color indexed="81"/>
            <rFont val="Tahoma"/>
          </rPr>
          <t xml:space="preserve">
Cross-costed under IV.02.18.</t>
        </r>
      </text>
    </comment>
    <comment ref="BI18" authorId="0" shapeId="0" xr:uid="{1D09F495-ADCE-403E-9953-2B84B62C9BAC}">
      <text>
        <r>
          <rPr>
            <b/>
            <sz val="9"/>
            <color indexed="81"/>
            <rFont val="Tahoma"/>
            <charset val="1"/>
          </rPr>
          <t>Alec Dawson Shepherd:</t>
        </r>
        <r>
          <rPr>
            <sz val="9"/>
            <color indexed="81"/>
            <rFont val="Tahoma"/>
            <charset val="1"/>
          </rPr>
          <t xml:space="preserve">
Financing review (1*5000)</t>
        </r>
      </text>
    </comment>
    <comment ref="BJ18" authorId="0" shapeId="0" xr:uid="{65B41884-1A5B-46E9-95A4-2C1440BA48C6}">
      <text>
        <r>
          <rPr>
            <b/>
            <sz val="9"/>
            <color indexed="81"/>
            <rFont val="Tahoma"/>
            <charset val="1"/>
          </rPr>
          <t>Alec Dawson Shepherd:</t>
        </r>
        <r>
          <rPr>
            <sz val="9"/>
            <color indexed="81"/>
            <rFont val="Tahoma"/>
            <charset val="1"/>
          </rPr>
          <t xml:space="preserve">
Legal direction, if required (7 x $US1,000)</t>
        </r>
      </text>
    </comment>
    <comment ref="BL18" authorId="0" shapeId="0" xr:uid="{1A0A2579-9A2C-4C61-8283-0BD59451BAAD}">
      <text>
        <r>
          <rPr>
            <b/>
            <sz val="9"/>
            <color indexed="81"/>
            <rFont val="Tahoma"/>
            <charset val="1"/>
          </rPr>
          <t>Alec Dawson Shepherd:</t>
        </r>
        <r>
          <rPr>
            <sz val="9"/>
            <color indexed="81"/>
            <rFont val="Tahoma"/>
            <charset val="1"/>
          </rPr>
          <t xml:space="preserve">
2 x Regional and national  trainings (8 x 2 x $US3,000).</t>
        </r>
      </text>
    </comment>
    <comment ref="BN18" authorId="0" shapeId="0" xr:uid="{A4F43B7D-CC9F-4AFA-84AC-F15CD15824FC}">
      <text>
        <r>
          <rPr>
            <b/>
            <sz val="9"/>
            <color indexed="81"/>
            <rFont val="Tahoma"/>
          </rPr>
          <t>Alec Dawson Shepherd:</t>
        </r>
        <r>
          <rPr>
            <sz val="9"/>
            <color indexed="81"/>
            <rFont val="Tahoma"/>
          </rPr>
          <t xml:space="preserve">
Cross-costed under IV.02.18.</t>
        </r>
      </text>
    </comment>
    <comment ref="BL19" authorId="0" shapeId="0" xr:uid="{95F9B028-6F82-46AA-9167-9755201AC57A}">
      <text>
        <r>
          <rPr>
            <b/>
            <sz val="9"/>
            <color indexed="81"/>
            <rFont val="Tahoma"/>
            <charset val="1"/>
          </rPr>
          <t>Alec Dawson Shepherd:</t>
        </r>
        <r>
          <rPr>
            <sz val="9"/>
            <color indexed="81"/>
            <rFont val="Tahoma"/>
            <charset val="1"/>
          </rPr>
          <t xml:space="preserve">
2 x Regional and national  trainings (8 x 2 x $US3,000).</t>
        </r>
      </text>
    </comment>
    <comment ref="BM19" authorId="0" shapeId="0" xr:uid="{A1FFEDCB-DBE7-472C-8AE7-FFE2FD3CC65D}">
      <text>
        <r>
          <rPr>
            <b/>
            <sz val="9"/>
            <color indexed="81"/>
            <rFont val="Tahoma"/>
          </rPr>
          <t>Alec Dawson Shepherd:</t>
        </r>
        <r>
          <rPr>
            <sz val="9"/>
            <color indexed="81"/>
            <rFont val="Tahoma"/>
          </rPr>
          <t xml:space="preserve">
1 Regional and 7 national good practice publications to be disseminated twice over the 5 year peiod via the database (8 x 2 x 1000).
Prize one per year, (7 countries x $US100).</t>
        </r>
      </text>
    </comment>
    <comment ref="BN19" authorId="0" shapeId="0" xr:uid="{AC27B17B-7395-4AB3-B95F-B240C5A1C5E9}">
      <text>
        <r>
          <rPr>
            <b/>
            <sz val="9"/>
            <color indexed="81"/>
            <rFont val="Tahoma"/>
          </rPr>
          <t>Alec Dawson Shepherd:</t>
        </r>
        <r>
          <rPr>
            <sz val="9"/>
            <color indexed="81"/>
            <rFont val="Tahoma"/>
          </rPr>
          <t xml:space="preserve">
Cross-costed under IV.02.18.</t>
        </r>
      </text>
    </comment>
    <comment ref="BJ20" authorId="0" shapeId="0" xr:uid="{B373B90F-FBFC-4851-A0C8-DF102D9B6832}">
      <text>
        <r>
          <rPr>
            <b/>
            <sz val="9"/>
            <color indexed="81"/>
            <rFont val="Tahoma"/>
            <charset val="1"/>
          </rPr>
          <t>Alec Dawson Shepherd:</t>
        </r>
        <r>
          <rPr>
            <sz val="9"/>
            <color indexed="81"/>
            <rFont val="Tahoma"/>
            <charset val="1"/>
          </rPr>
          <t xml:space="preserve">
If legal direction required.</t>
        </r>
      </text>
    </comment>
    <comment ref="BL20" authorId="0" shapeId="0" xr:uid="{A04D8831-E580-4348-9AF1-6FDF6B368DB1}">
      <text>
        <r>
          <rPr>
            <b/>
            <sz val="9"/>
            <color indexed="81"/>
            <rFont val="Tahoma"/>
            <charset val="1"/>
          </rPr>
          <t>Alec Dawson Shepherd:</t>
        </r>
        <r>
          <rPr>
            <sz val="9"/>
            <color indexed="81"/>
            <rFont val="Tahoma"/>
            <charset val="1"/>
          </rPr>
          <t xml:space="preserve">
2 x Regional and national  trainings (8 x 2 x $US3,000).</t>
        </r>
      </text>
    </comment>
    <comment ref="BN20" authorId="0" shapeId="0" xr:uid="{B9676019-6F44-45DF-A022-3B0E543F6E5D}">
      <text>
        <r>
          <rPr>
            <b/>
            <sz val="9"/>
            <color indexed="81"/>
            <rFont val="Tahoma"/>
          </rPr>
          <t>Alec Dawson Shepherd:</t>
        </r>
        <r>
          <rPr>
            <sz val="9"/>
            <color indexed="81"/>
            <rFont val="Tahoma"/>
          </rPr>
          <t xml:space="preserve">
Cross-costed under IV.02.18.</t>
        </r>
      </text>
    </comment>
    <comment ref="BI21" authorId="0" shapeId="0" xr:uid="{46F18B8A-8314-49DF-82F6-B081C8FFC494}">
      <text>
        <r>
          <rPr>
            <b/>
            <sz val="9"/>
            <color indexed="81"/>
            <rFont val="Tahoma"/>
            <charset val="1"/>
          </rPr>
          <t>Alec Dawson Shepherd:</t>
        </r>
        <r>
          <rPr>
            <sz val="9"/>
            <color indexed="81"/>
            <rFont val="Tahoma"/>
            <charset val="1"/>
          </rPr>
          <t xml:space="preserve">
Regional Guidelines (1 x $US5,000)</t>
        </r>
      </text>
    </comment>
    <comment ref="BL21" authorId="0" shapeId="0" xr:uid="{7E90A07F-17B1-4EA1-BE6D-5B42BEEB7FCE}">
      <text>
        <r>
          <rPr>
            <b/>
            <sz val="9"/>
            <color indexed="81"/>
            <rFont val="Tahoma"/>
            <charset val="1"/>
          </rPr>
          <t>Alec Dawson Shepherd:</t>
        </r>
        <r>
          <rPr>
            <sz val="9"/>
            <color indexed="81"/>
            <rFont val="Tahoma"/>
            <charset val="1"/>
          </rPr>
          <t xml:space="preserve">
2 x Regional and national  trainings (8 x 2 x $US3,000).</t>
        </r>
      </text>
    </comment>
    <comment ref="BM21" authorId="0" shapeId="0" xr:uid="{0CC1EF69-63DF-4B52-9B90-9C748776011E}">
      <text>
        <r>
          <rPr>
            <b/>
            <sz val="9"/>
            <color indexed="81"/>
            <rFont val="Tahoma"/>
            <charset val="1"/>
          </rPr>
          <t>Alec Dawson Shepherd:</t>
        </r>
        <r>
          <rPr>
            <sz val="9"/>
            <color indexed="81"/>
            <rFont val="Tahoma"/>
            <charset val="1"/>
          </rPr>
          <t xml:space="preserve">
2 times in the 5 years: 1 x regional and 7 x national demonstration pilot Issues IUU Fishing   assessments (2*8 x $US10,000)</t>
        </r>
      </text>
    </comment>
    <comment ref="BN21" authorId="0" shapeId="0" xr:uid="{9E07A6AE-202A-4DA7-9907-01C9A59C712E}">
      <text>
        <r>
          <rPr>
            <b/>
            <sz val="9"/>
            <color indexed="81"/>
            <rFont val="Tahoma"/>
          </rPr>
          <t>Alec Dawson Shepherd:</t>
        </r>
        <r>
          <rPr>
            <sz val="9"/>
            <color indexed="81"/>
            <rFont val="Tahoma"/>
          </rPr>
          <t xml:space="preserve">
Cross-costed under IV.02.18.</t>
        </r>
      </text>
    </comment>
    <comment ref="BI22" authorId="0" shapeId="0" xr:uid="{F8E40353-3D54-4C3B-8812-68F6B7176BA8}">
      <text>
        <r>
          <rPr>
            <b/>
            <sz val="9"/>
            <color indexed="81"/>
            <rFont val="Tahoma"/>
            <charset val="1"/>
          </rPr>
          <t>Alec Dawson Shepherd:</t>
        </r>
        <r>
          <rPr>
            <sz val="9"/>
            <color indexed="81"/>
            <rFont val="Tahoma"/>
            <charset val="1"/>
          </rPr>
          <t xml:space="preserve">
Support for adoption process regionally and nationally (1 x $US3000+7x $US3000)</t>
        </r>
      </text>
    </comment>
    <comment ref="BJ22" authorId="0" shapeId="0" xr:uid="{180351FA-2AEA-4E5D-8F30-DBBF8E573FE4}">
      <text>
        <r>
          <rPr>
            <b/>
            <sz val="9"/>
            <color indexed="81"/>
            <rFont val="Tahoma"/>
            <charset val="1"/>
          </rPr>
          <t>Alec Dawson Shepherd:</t>
        </r>
        <r>
          <rPr>
            <sz val="9"/>
            <color indexed="81"/>
            <rFont val="Tahoma"/>
            <charset val="1"/>
          </rPr>
          <t xml:space="preserve">
If legal direction required.</t>
        </r>
      </text>
    </comment>
    <comment ref="BL22" authorId="0" shapeId="0" xr:uid="{CDB5FF90-E5CF-4E94-B136-4451938E99F9}">
      <text>
        <r>
          <rPr>
            <b/>
            <sz val="9"/>
            <color indexed="81"/>
            <rFont val="Tahoma"/>
            <charset val="1"/>
          </rPr>
          <t>Alec Dawson Shepherd:</t>
        </r>
        <r>
          <rPr>
            <sz val="9"/>
            <color indexed="81"/>
            <rFont val="Tahoma"/>
            <charset val="1"/>
          </rPr>
          <t xml:space="preserve">
2 x Regional and national  trainings (8 x 2 x $US3,000).</t>
        </r>
      </text>
    </comment>
    <comment ref="BN22" authorId="0" shapeId="0" xr:uid="{FF67A234-7A07-4DDD-8267-7B762485C7D4}">
      <text>
        <r>
          <rPr>
            <b/>
            <sz val="9"/>
            <color indexed="81"/>
            <rFont val="Tahoma"/>
          </rPr>
          <t>Alec Dawson Shepherd:</t>
        </r>
        <r>
          <rPr>
            <sz val="9"/>
            <color indexed="81"/>
            <rFont val="Tahoma"/>
          </rPr>
          <t xml:space="preserve">
Cross-costed under IV.02.18.</t>
        </r>
      </text>
    </comment>
    <comment ref="BJ23" authorId="0" shapeId="0" xr:uid="{239043B6-7A15-4250-996E-0562E221797F}">
      <text>
        <r>
          <rPr>
            <b/>
            <sz val="9"/>
            <color indexed="81"/>
            <rFont val="Tahoma"/>
            <charset val="1"/>
          </rPr>
          <t>Alec Dawson Shepherd:</t>
        </r>
        <r>
          <rPr>
            <sz val="9"/>
            <color indexed="81"/>
            <rFont val="Tahoma"/>
            <charset val="1"/>
          </rPr>
          <t xml:space="preserve">
If legal direction required.</t>
        </r>
      </text>
    </comment>
    <comment ref="BL23" authorId="0" shapeId="0" xr:uid="{C3E3A488-1FC3-4FDE-978D-C9F2719A5585}">
      <text>
        <r>
          <rPr>
            <b/>
            <sz val="9"/>
            <color indexed="81"/>
            <rFont val="Tahoma"/>
            <charset val="1"/>
          </rPr>
          <t>Alec Dawson Shepherd:</t>
        </r>
        <r>
          <rPr>
            <sz val="9"/>
            <color indexed="81"/>
            <rFont val="Tahoma"/>
            <charset val="1"/>
          </rPr>
          <t xml:space="preserve">
2 x Regional and national  trainings (8 x 2 x $US3,000).</t>
        </r>
      </text>
    </comment>
    <comment ref="BN23" authorId="0" shapeId="0" xr:uid="{6B9470BF-65FC-4CC2-A8A7-33AAADBA48BB}">
      <text>
        <r>
          <rPr>
            <b/>
            <sz val="9"/>
            <color indexed="81"/>
            <rFont val="Tahoma"/>
          </rPr>
          <t>Alec Dawson Shepherd:</t>
        </r>
        <r>
          <rPr>
            <sz val="9"/>
            <color indexed="81"/>
            <rFont val="Tahoma"/>
          </rPr>
          <t xml:space="preserve">
Cross-costed under IV.02.18.</t>
        </r>
      </text>
    </comment>
    <comment ref="BJ24" authorId="0" shapeId="0" xr:uid="{85BD592B-51F9-4E9F-A4D4-CC718349BEE1}">
      <text>
        <r>
          <rPr>
            <b/>
            <sz val="9"/>
            <color indexed="81"/>
            <rFont val="Tahoma"/>
            <charset val="1"/>
          </rPr>
          <t>Alec Dawson Shepherd:</t>
        </r>
        <r>
          <rPr>
            <sz val="9"/>
            <color indexed="81"/>
            <rFont val="Tahoma"/>
            <charset val="1"/>
          </rPr>
          <t xml:space="preserve">
If legal direction required.</t>
        </r>
      </text>
    </comment>
    <comment ref="BL24" authorId="0" shapeId="0" xr:uid="{E48F7AC9-5F6B-443C-AF3C-429F415C3EE4}">
      <text>
        <r>
          <rPr>
            <b/>
            <sz val="9"/>
            <color indexed="81"/>
            <rFont val="Tahoma"/>
            <charset val="1"/>
          </rPr>
          <t>Alec Dawson Shepherd:</t>
        </r>
        <r>
          <rPr>
            <sz val="9"/>
            <color indexed="81"/>
            <rFont val="Tahoma"/>
            <charset val="1"/>
          </rPr>
          <t xml:space="preserve">
2 x Regional and national  trainings (8 x 2 x $US3,000).</t>
        </r>
      </text>
    </comment>
    <comment ref="BM24" authorId="0" shapeId="0" xr:uid="{A039235B-DF87-468D-BD62-E417E7E93657}">
      <text>
        <r>
          <rPr>
            <b/>
            <sz val="9"/>
            <color indexed="81"/>
            <rFont val="Tahoma"/>
            <family val="2"/>
          </rPr>
          <t>Alec Dawson Shepherd:</t>
        </r>
        <r>
          <rPr>
            <sz val="9"/>
            <color indexed="81"/>
            <rFont val="Tahoma"/>
            <family val="2"/>
          </rPr>
          <t xml:space="preserve">
1 x regional and 7 x national pilot demonstration projects introducing pollution control measures.
Consideration should be given to a revolving fund for IUU fishing related pollution control investments.</t>
        </r>
      </text>
    </comment>
    <comment ref="BN24" authorId="0" shapeId="0" xr:uid="{C8C15377-057A-4EC6-A017-C134E1EDAD19}">
      <text>
        <r>
          <rPr>
            <b/>
            <sz val="9"/>
            <color indexed="81"/>
            <rFont val="Tahoma"/>
          </rPr>
          <t>Alec Dawson Shepherd:</t>
        </r>
        <r>
          <rPr>
            <sz val="9"/>
            <color indexed="81"/>
            <rFont val="Tahoma"/>
          </rPr>
          <t xml:space="preserve">
Cross-costed under IV.02.18.</t>
        </r>
      </text>
    </comment>
    <comment ref="BJ25" authorId="0" shapeId="0" xr:uid="{0F595234-6DD9-4769-82CB-E853CCB830FE}">
      <text>
        <r>
          <rPr>
            <b/>
            <sz val="9"/>
            <color indexed="81"/>
            <rFont val="Tahoma"/>
            <charset val="1"/>
          </rPr>
          <t>Alec Dawson Shepherd:</t>
        </r>
        <r>
          <rPr>
            <sz val="9"/>
            <color indexed="81"/>
            <rFont val="Tahoma"/>
            <charset val="1"/>
          </rPr>
          <t xml:space="preserve">
If legal direction required.</t>
        </r>
      </text>
    </comment>
    <comment ref="BL25" authorId="0" shapeId="0" xr:uid="{AEDE14AC-9AAB-4E0D-A53A-285F5FBDC917}">
      <text>
        <r>
          <rPr>
            <b/>
            <sz val="9"/>
            <color indexed="81"/>
            <rFont val="Tahoma"/>
            <charset val="1"/>
          </rPr>
          <t>Alec Dawson Shepherd:</t>
        </r>
        <r>
          <rPr>
            <sz val="9"/>
            <color indexed="81"/>
            <rFont val="Tahoma"/>
            <charset val="1"/>
          </rPr>
          <t xml:space="preserve">
2 x Regional and national  trainings (8 x 2 x $US3,000).</t>
        </r>
      </text>
    </comment>
    <comment ref="BN25" authorId="0" shapeId="0" xr:uid="{9920354E-2985-4C66-BB0C-CD34A382BA6B}">
      <text>
        <r>
          <rPr>
            <b/>
            <sz val="9"/>
            <color indexed="81"/>
            <rFont val="Tahoma"/>
          </rPr>
          <t>Alec Dawson Shepherd:</t>
        </r>
        <r>
          <rPr>
            <sz val="9"/>
            <color indexed="81"/>
            <rFont val="Tahoma"/>
          </rPr>
          <t xml:space="preserve">
Cross-costed under IV.02.18.</t>
        </r>
      </text>
    </comment>
    <comment ref="BJ26" authorId="0" shapeId="0" xr:uid="{7AD1446D-4F11-4326-8844-1B6E488EF6AC}">
      <text>
        <r>
          <rPr>
            <b/>
            <sz val="9"/>
            <color indexed="81"/>
            <rFont val="Tahoma"/>
            <charset val="1"/>
          </rPr>
          <t>Alec Dawson Shepherd:</t>
        </r>
        <r>
          <rPr>
            <sz val="9"/>
            <color indexed="81"/>
            <rFont val="Tahoma"/>
            <charset val="1"/>
          </rPr>
          <t xml:space="preserve">
If legal direction required.</t>
        </r>
      </text>
    </comment>
    <comment ref="BL26" authorId="0" shapeId="0" xr:uid="{93B6EFF2-F5D2-4AC4-B7B9-050C4F550C20}">
      <text>
        <r>
          <rPr>
            <b/>
            <sz val="9"/>
            <color indexed="81"/>
            <rFont val="Tahoma"/>
            <charset val="1"/>
          </rPr>
          <t>Alec Dawson Shepherd:</t>
        </r>
        <r>
          <rPr>
            <sz val="9"/>
            <color indexed="81"/>
            <rFont val="Tahoma"/>
            <charset val="1"/>
          </rPr>
          <t xml:space="preserve">
2 x Regional and national  trainings (8 x 2 x $US3,000).</t>
        </r>
      </text>
    </comment>
    <comment ref="BM26" authorId="0" shapeId="0" xr:uid="{B5AA1E5A-ED63-4552-8F3B-AEF583A63B35}">
      <text>
        <r>
          <rPr>
            <b/>
            <sz val="9"/>
            <color indexed="81"/>
            <rFont val="Tahoma"/>
            <family val="2"/>
          </rPr>
          <t>Alec Dawson Shepherd:</t>
        </r>
        <r>
          <rPr>
            <sz val="9"/>
            <color indexed="81"/>
            <rFont val="Tahoma"/>
            <family val="2"/>
          </rPr>
          <t xml:space="preserve">
4 fisheries IUU related research demonstration pilots (climate vulnerability, climate loss and damage, restoration, etc) regionally and for each contracting party at $US25,000 per pilot (8 x 4 x 25000) </t>
        </r>
      </text>
    </comment>
    <comment ref="BN26" authorId="0" shapeId="0" xr:uid="{91C191B7-8740-4D0E-974E-8F3174FEBBC5}">
      <text>
        <r>
          <rPr>
            <b/>
            <sz val="9"/>
            <color indexed="81"/>
            <rFont val="Tahoma"/>
          </rPr>
          <t>Alec Dawson Shepherd:</t>
        </r>
        <r>
          <rPr>
            <sz val="9"/>
            <color indexed="81"/>
            <rFont val="Tahoma"/>
          </rPr>
          <t xml:space="preserve">
Cross-costed under IV.02.18.</t>
        </r>
      </text>
    </comment>
    <comment ref="BI27" authorId="0" shapeId="0" xr:uid="{58BBB099-BFFB-4A15-B193-FEB822A3E9C1}">
      <text>
        <r>
          <rPr>
            <b/>
            <sz val="9"/>
            <color indexed="81"/>
            <rFont val="Tahoma"/>
            <family val="2"/>
          </rPr>
          <t>Alec Dawson Shepherd:</t>
        </r>
        <r>
          <rPr>
            <sz val="9"/>
            <color indexed="81"/>
            <rFont val="Tahoma"/>
            <family val="2"/>
          </rPr>
          <t xml:space="preserve">
Includes a figure for preparing guidelines for revising and for revising the RPOa-IUU.</t>
        </r>
      </text>
    </comment>
    <comment ref="BJ27" authorId="0" shapeId="0" xr:uid="{7D716EF7-BDCE-4C9E-A24D-77C26E719AFA}">
      <text>
        <r>
          <rPr>
            <b/>
            <sz val="9"/>
            <color indexed="81"/>
            <rFont val="Tahoma"/>
            <charset val="1"/>
          </rPr>
          <t>Alec Dawson Shepherd:</t>
        </r>
        <r>
          <rPr>
            <sz val="9"/>
            <color indexed="81"/>
            <rFont val="Tahoma"/>
            <charset val="1"/>
          </rPr>
          <t xml:space="preserve">
If legal direction required.</t>
        </r>
      </text>
    </comment>
    <comment ref="BL27" authorId="0" shapeId="0" xr:uid="{F157B159-F881-4424-9D21-11233ECE0413}">
      <text>
        <r>
          <rPr>
            <b/>
            <sz val="9"/>
            <color indexed="81"/>
            <rFont val="Tahoma"/>
            <charset val="1"/>
          </rPr>
          <t>Alec Dawson Shepherd:</t>
        </r>
        <r>
          <rPr>
            <sz val="9"/>
            <color indexed="81"/>
            <rFont val="Tahoma"/>
            <charset val="1"/>
          </rPr>
          <t xml:space="preserve">
2 x Regional and national  trainings (8 x 2 x $US3,000).</t>
        </r>
      </text>
    </comment>
    <comment ref="BN27" authorId="0" shapeId="0" xr:uid="{99DE6000-8A01-482B-B2E4-65D0EFF0C571}">
      <text>
        <r>
          <rPr>
            <b/>
            <sz val="9"/>
            <color indexed="81"/>
            <rFont val="Tahoma"/>
          </rPr>
          <t>Alec Dawson Shepherd:</t>
        </r>
        <r>
          <rPr>
            <sz val="9"/>
            <color indexed="81"/>
            <rFont val="Tahoma"/>
          </rPr>
          <t xml:space="preserve">
Cross-costed under IV.02.18.</t>
        </r>
      </text>
    </comment>
    <comment ref="BI28" authorId="0" shapeId="0" xr:uid="{6D06F99F-FDAF-49F5-86FF-6DD209971376}">
      <text>
        <r>
          <rPr>
            <b/>
            <sz val="9"/>
            <color indexed="81"/>
            <rFont val="Tahoma"/>
          </rPr>
          <t>Alec Dawson Shepherd:</t>
        </r>
        <r>
          <rPr>
            <sz val="9"/>
            <color indexed="81"/>
            <rFont val="Tahoma"/>
          </rPr>
          <t xml:space="preserve">
Regional and national assessments and the preparation of Guidelines and proposed Actions should have been undertaken under the existing SFISH Consultancy.</t>
        </r>
      </text>
    </comment>
    <comment ref="BJ28" authorId="0" shapeId="0" xr:uid="{7A47F3FF-2E9B-4ACA-9462-09897385EFCE}">
      <text>
        <r>
          <rPr>
            <b/>
            <sz val="9"/>
            <color indexed="81"/>
            <rFont val="Tahoma"/>
            <charset val="1"/>
          </rPr>
          <t>Alec Dawson Shepherd:</t>
        </r>
        <r>
          <rPr>
            <sz val="9"/>
            <color indexed="81"/>
            <rFont val="Tahoma"/>
            <charset val="1"/>
          </rPr>
          <t xml:space="preserve">
If legal direction required.</t>
        </r>
      </text>
    </comment>
    <comment ref="BL28" authorId="0" shapeId="0" xr:uid="{2F98D526-BE65-4666-A723-63D47870B2E1}">
      <text>
        <r>
          <rPr>
            <b/>
            <sz val="9"/>
            <color indexed="81"/>
            <rFont val="Tahoma"/>
            <charset val="1"/>
          </rPr>
          <t>Alec Dawson Shepherd:</t>
        </r>
        <r>
          <rPr>
            <sz val="9"/>
            <color indexed="81"/>
            <rFont val="Tahoma"/>
            <charset val="1"/>
          </rPr>
          <t xml:space="preserve">
2 x Regional and national  trainings (8 x 2 x $US3,000).</t>
        </r>
      </text>
    </comment>
    <comment ref="BM28" authorId="0" shapeId="0" xr:uid="{717EFF00-DF8E-49D4-B181-CD1C07749F71}">
      <text>
        <r>
          <rPr>
            <b/>
            <sz val="9"/>
            <color indexed="81"/>
            <rFont val="Tahoma"/>
            <family val="2"/>
          </rPr>
          <t>Alec Dawson Shepherd:</t>
        </r>
        <r>
          <rPr>
            <sz val="9"/>
            <color indexed="81"/>
            <rFont val="Tahoma"/>
            <family val="2"/>
          </rPr>
          <t xml:space="preserve">
Resourcing for implementation regionally, and in each country, of one demonstration pilot each for: (1) Sharks,  (2) Seabirds, (3) Turtles, and (4) Marine Mammals.</t>
        </r>
      </text>
    </comment>
    <comment ref="BN28" authorId="0" shapeId="0" xr:uid="{ED6FE685-75F4-4207-81EE-BF87CB31D367}">
      <text>
        <r>
          <rPr>
            <b/>
            <sz val="9"/>
            <color indexed="81"/>
            <rFont val="Tahoma"/>
          </rPr>
          <t>Alec Dawson Shepherd:</t>
        </r>
        <r>
          <rPr>
            <sz val="9"/>
            <color indexed="81"/>
            <rFont val="Tahoma"/>
          </rPr>
          <t xml:space="preserve">
Cross-costed under IV.02.18.</t>
        </r>
      </text>
    </comment>
    <comment ref="BI29" authorId="0" shapeId="0" xr:uid="{574AA90F-E451-49BC-ACF1-1894ECA78BBB}">
      <text>
        <r>
          <rPr>
            <b/>
            <sz val="9"/>
            <color indexed="81"/>
            <rFont val="Tahoma"/>
          </rPr>
          <t>Alec Dawson Shepherd:</t>
        </r>
        <r>
          <rPr>
            <sz val="9"/>
            <color indexed="81"/>
            <rFont val="Tahoma"/>
          </rPr>
          <t xml:space="preserve">
Review ($US15,000 and Guidelines $US15,000)</t>
        </r>
      </text>
    </comment>
    <comment ref="BJ29" authorId="0" shapeId="0" xr:uid="{C4937CD5-AF5B-4B66-919E-7EE673D00B56}">
      <text>
        <r>
          <rPr>
            <b/>
            <sz val="9"/>
            <color indexed="81"/>
            <rFont val="Tahoma"/>
            <charset val="1"/>
          </rPr>
          <t>Alec Dawson Shepherd:</t>
        </r>
        <r>
          <rPr>
            <sz val="9"/>
            <color indexed="81"/>
            <rFont val="Tahoma"/>
            <charset val="1"/>
          </rPr>
          <t xml:space="preserve">
If legal direction required.</t>
        </r>
      </text>
    </comment>
    <comment ref="BK29" authorId="0" shapeId="0" xr:uid="{CD726A85-8FB0-4AE3-A64F-AFC06835C890}">
      <text>
        <r>
          <rPr>
            <b/>
            <sz val="9"/>
            <color indexed="81"/>
            <rFont val="Tahoma"/>
          </rPr>
          <t>Alec Dawson Shepherd:</t>
        </r>
        <r>
          <rPr>
            <sz val="9"/>
            <color indexed="81"/>
            <rFont val="Tahoma"/>
          </rPr>
          <t xml:space="preserve">
54 actions, 7 countries, 2 sessions and $1,000 unit cost.</t>
        </r>
      </text>
    </comment>
    <comment ref="BL29" authorId="0" shapeId="0" xr:uid="{6E7BEC57-BF7E-4C4F-BC8F-74F94C21F475}">
      <text>
        <r>
          <rPr>
            <b/>
            <sz val="9"/>
            <color indexed="81"/>
            <rFont val="Tahoma"/>
            <charset val="1"/>
          </rPr>
          <t>Alec Dawson Shepherd:</t>
        </r>
        <r>
          <rPr>
            <sz val="9"/>
            <color indexed="81"/>
            <rFont val="Tahoma"/>
            <charset val="1"/>
          </rPr>
          <t xml:space="preserve">
2 x Regional and national  trainings (8 x 2 x $US3,000).</t>
        </r>
      </text>
    </comment>
    <comment ref="BT29" authorId="0" shapeId="0" xr:uid="{D675800A-DFFF-4A8D-A02B-F8ABD95F7075}">
      <text>
        <r>
          <rPr>
            <b/>
            <sz val="9"/>
            <color indexed="81"/>
            <rFont val="Tahoma"/>
            <family val="2"/>
          </rPr>
          <t>Alec Dawson Shepherd:</t>
        </r>
        <r>
          <rPr>
            <sz val="9"/>
            <color indexed="81"/>
            <rFont val="Tahoma"/>
            <family val="2"/>
          </rPr>
          <t xml:space="preserve">
High % because it includes M&amp;E for all.</t>
        </r>
      </text>
    </comment>
    <comment ref="BI30" authorId="0" shapeId="0" xr:uid="{C7F0CC6D-50B6-4C42-90F9-DE3A2E876DCE}">
      <text>
        <r>
          <rPr>
            <b/>
            <sz val="9"/>
            <color indexed="81"/>
            <rFont val="Tahoma"/>
          </rPr>
          <t>Alec Dawson Shepherd:</t>
        </r>
        <r>
          <rPr>
            <sz val="9"/>
            <color indexed="81"/>
            <rFont val="Tahoma"/>
          </rPr>
          <t xml:space="preserve">
Guidelines at $US5,000 and 7 x national studies at $US3,000 each)</t>
        </r>
      </text>
    </comment>
    <comment ref="BJ30" authorId="0" shapeId="0" xr:uid="{7C20CCFA-899C-45E5-AFEF-AA2128C384B6}">
      <text>
        <r>
          <rPr>
            <b/>
            <sz val="9"/>
            <color indexed="81"/>
            <rFont val="Tahoma"/>
            <charset val="1"/>
          </rPr>
          <t>Alec Dawson Shepherd:</t>
        </r>
        <r>
          <rPr>
            <sz val="9"/>
            <color indexed="81"/>
            <rFont val="Tahoma"/>
            <charset val="1"/>
          </rPr>
          <t xml:space="preserve">
If legal direction required.</t>
        </r>
      </text>
    </comment>
    <comment ref="BL30" authorId="0" shapeId="0" xr:uid="{15B75A20-1DD1-44C2-9910-CE96C139AAA9}">
      <text>
        <r>
          <rPr>
            <b/>
            <sz val="9"/>
            <color indexed="81"/>
            <rFont val="Tahoma"/>
            <charset val="1"/>
          </rPr>
          <t>Alec Dawson Shepherd:</t>
        </r>
        <r>
          <rPr>
            <sz val="9"/>
            <color indexed="81"/>
            <rFont val="Tahoma"/>
            <charset val="1"/>
          </rPr>
          <t xml:space="preserve">
2 x Regional and national  trainings (8 x 2 x $US3,000).</t>
        </r>
      </text>
    </comment>
    <comment ref="BN30" authorId="0" shapeId="0" xr:uid="{4B787B03-2A04-41B8-9D50-E652A84B963D}">
      <text>
        <r>
          <rPr>
            <b/>
            <sz val="9"/>
            <color indexed="81"/>
            <rFont val="Tahoma"/>
          </rPr>
          <t>Alec Dawson Shepherd:</t>
        </r>
        <r>
          <rPr>
            <sz val="9"/>
            <color indexed="81"/>
            <rFont val="Tahoma"/>
          </rPr>
          <t xml:space="preserve">
Cross-costed under IV.02.18.</t>
        </r>
      </text>
    </comment>
    <comment ref="BI31" authorId="0" shapeId="0" xr:uid="{3E1AF30D-A545-44B3-B5BF-ADDFA88CA510}">
      <text>
        <r>
          <rPr>
            <b/>
            <sz val="9"/>
            <color indexed="81"/>
            <rFont val="Tahoma"/>
          </rPr>
          <t>Alec Dawson Shepherd:</t>
        </r>
        <r>
          <rPr>
            <sz val="9"/>
            <color indexed="81"/>
            <rFont val="Tahoma"/>
          </rPr>
          <t xml:space="preserve">
Guidelines at $US5,000 and 7 x national studies at $US3,000 each)</t>
        </r>
      </text>
    </comment>
    <comment ref="BJ31" authorId="0" shapeId="0" xr:uid="{DB168A05-CC25-42DE-AF34-111809971383}">
      <text>
        <r>
          <rPr>
            <b/>
            <sz val="9"/>
            <color indexed="81"/>
            <rFont val="Tahoma"/>
            <charset val="1"/>
          </rPr>
          <t>Alec Dawson Shepherd:</t>
        </r>
        <r>
          <rPr>
            <sz val="9"/>
            <color indexed="81"/>
            <rFont val="Tahoma"/>
            <charset val="1"/>
          </rPr>
          <t xml:space="preserve">
If legal direction required.</t>
        </r>
      </text>
    </comment>
    <comment ref="BL31" authorId="0" shapeId="0" xr:uid="{ADCF6650-A40C-4016-A71A-6253ADB4949A}">
      <text>
        <r>
          <rPr>
            <b/>
            <sz val="9"/>
            <color indexed="81"/>
            <rFont val="Tahoma"/>
            <charset val="1"/>
          </rPr>
          <t>Alec Dawson Shepherd:</t>
        </r>
        <r>
          <rPr>
            <sz val="9"/>
            <color indexed="81"/>
            <rFont val="Tahoma"/>
            <charset val="1"/>
          </rPr>
          <t xml:space="preserve">
2 x Regional and national  trainings (8 x 2 x $US3,000).</t>
        </r>
      </text>
    </comment>
    <comment ref="BM31" authorId="0" shapeId="0" xr:uid="{FCE7F75E-37D8-4651-88C6-B8ECC5554182}">
      <text>
        <r>
          <rPr>
            <b/>
            <sz val="9"/>
            <color indexed="81"/>
            <rFont val="Tahoma"/>
            <charset val="1"/>
          </rPr>
          <t>Alec Dawson Shepherd:</t>
        </r>
        <r>
          <rPr>
            <sz val="9"/>
            <color indexed="81"/>
            <rFont val="Tahoma"/>
            <charset val="1"/>
          </rPr>
          <t xml:space="preserve">
Budget for delivery of 1 regional and 7 National ByCatch and Discards Action demonstration pilots (8 x 1 x $US50,000)</t>
        </r>
      </text>
    </comment>
    <comment ref="BN31" authorId="0" shapeId="0" xr:uid="{982E6770-659E-41AF-9009-86D51053EA65}">
      <text>
        <r>
          <rPr>
            <b/>
            <sz val="9"/>
            <color indexed="81"/>
            <rFont val="Tahoma"/>
          </rPr>
          <t>Alec Dawson Shepherd:</t>
        </r>
        <r>
          <rPr>
            <sz val="9"/>
            <color indexed="81"/>
            <rFont val="Tahoma"/>
          </rPr>
          <t xml:space="preserve">
Cross-costed under IV.02.18.</t>
        </r>
      </text>
    </comment>
    <comment ref="BI32" authorId="0" shapeId="0" xr:uid="{DFD1F6E4-63CE-4382-9821-5F6AE9CF6D77}">
      <text>
        <r>
          <rPr>
            <b/>
            <sz val="9"/>
            <color indexed="81"/>
            <rFont val="Tahoma"/>
          </rPr>
          <t>Alec Dawson Shepherd:</t>
        </r>
        <r>
          <rPr>
            <sz val="9"/>
            <color indexed="81"/>
            <rFont val="Tahoma"/>
          </rPr>
          <t xml:space="preserve">
Guidelines and 7 x national studies should have been undertaken under the existing SFISH Consultancy.</t>
        </r>
      </text>
    </comment>
    <comment ref="BJ32" authorId="0" shapeId="0" xr:uid="{60CF2A9C-9623-4FB7-90EA-E78FF03B34D4}">
      <text>
        <r>
          <rPr>
            <b/>
            <sz val="9"/>
            <color indexed="81"/>
            <rFont val="Tahoma"/>
            <charset val="1"/>
          </rPr>
          <t>Alec Dawson Shepherd:</t>
        </r>
        <r>
          <rPr>
            <sz val="9"/>
            <color indexed="81"/>
            <rFont val="Tahoma"/>
            <charset val="1"/>
          </rPr>
          <t xml:space="preserve">
If legal direction required.</t>
        </r>
      </text>
    </comment>
    <comment ref="BL32" authorId="0" shapeId="0" xr:uid="{D1F4BACE-10E2-47B3-A3E7-A1554CC5DA50}">
      <text>
        <r>
          <rPr>
            <b/>
            <sz val="9"/>
            <color indexed="81"/>
            <rFont val="Tahoma"/>
            <charset val="1"/>
          </rPr>
          <t>Alec Dawson Shepherd:</t>
        </r>
        <r>
          <rPr>
            <sz val="9"/>
            <color indexed="81"/>
            <rFont val="Tahoma"/>
            <charset val="1"/>
          </rPr>
          <t xml:space="preserve">
2 x Regional and national  trainings (8 x 2 x $US3,000).</t>
        </r>
      </text>
    </comment>
    <comment ref="BM32" authorId="0" shapeId="0" xr:uid="{F7E91115-8579-42CA-8728-BAFB686093C3}">
      <text>
        <r>
          <rPr>
            <b/>
            <sz val="9"/>
            <color indexed="81"/>
            <rFont val="Tahoma"/>
            <charset val="1"/>
          </rPr>
          <t>Alec Dawson Shepherd:</t>
        </r>
        <r>
          <rPr>
            <sz val="9"/>
            <color indexed="81"/>
            <rFont val="Tahoma"/>
            <charset val="1"/>
          </rPr>
          <t xml:space="preserve">
Budget for delivery of 1 regional and 7 National Fisheries Statistics and Stock Assessment Action demonstration pilots (8 x 1 x $US50,000)</t>
        </r>
      </text>
    </comment>
    <comment ref="BN32" authorId="0" shapeId="0" xr:uid="{D9344F2B-167F-4323-B402-9C6DA3633EFC}">
      <text>
        <r>
          <rPr>
            <b/>
            <sz val="9"/>
            <color indexed="81"/>
            <rFont val="Tahoma"/>
          </rPr>
          <t>Alec Dawson Shepherd:</t>
        </r>
        <r>
          <rPr>
            <sz val="9"/>
            <color indexed="81"/>
            <rFont val="Tahoma"/>
          </rPr>
          <t xml:space="preserve">
Cross-costed under IV.02.18.</t>
        </r>
      </text>
    </comment>
    <comment ref="AA37" authorId="0" shapeId="0" xr:uid="{15DA6000-A2CF-4C3E-8F0F-BE6A02012005}">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37" authorId="0" shapeId="0" xr:uid="{4AFCA91E-4730-4B7D-BF57-F77578FD748C}">
      <text>
        <r>
          <rPr>
            <b/>
            <sz val="9"/>
            <color indexed="81"/>
            <rFont val="Tahoma"/>
            <family val="2"/>
          </rPr>
          <t>Alec Dawson Shepherd:</t>
        </r>
        <r>
          <rPr>
            <sz val="9"/>
            <color indexed="81"/>
            <rFont val="Tahoma"/>
            <family val="2"/>
          </rPr>
          <t xml:space="preserve">
The estimated percentage extent to which the action has been completed.</t>
        </r>
      </text>
    </comment>
    <comment ref="AZ40" authorId="0" shapeId="0" xr:uid="{6C8EAE33-3810-4AD3-B6A6-A6B6DC0697DF}">
      <text>
        <r>
          <rPr>
            <b/>
            <sz val="9"/>
            <color indexed="81"/>
            <rFont val="Tahoma"/>
            <family val="2"/>
          </rPr>
          <t>Alec Dawson Shepherd:</t>
        </r>
        <r>
          <rPr>
            <sz val="9"/>
            <color indexed="81"/>
            <rFont val="Tahoma"/>
            <family val="2"/>
          </rPr>
          <t xml:space="preserve">
Council</t>
        </r>
      </text>
    </comment>
    <comment ref="BA40" authorId="0" shapeId="0" xr:uid="{26442342-BDC7-43D7-942E-4669EA3BCFB5}">
      <text>
        <r>
          <rPr>
            <b/>
            <sz val="9"/>
            <color indexed="81"/>
            <rFont val="Tahoma"/>
            <family val="2"/>
          </rPr>
          <t>Alec Dawson Shepherd:</t>
        </r>
        <r>
          <rPr>
            <sz val="9"/>
            <color indexed="81"/>
            <rFont val="Tahoma"/>
            <family val="2"/>
          </rPr>
          <t xml:space="preserve">
General Secretariat</t>
        </r>
      </text>
    </comment>
    <comment ref="BB40" authorId="0" shapeId="0" xr:uid="{82B527B6-2B03-4A2A-891C-91AFB4AA074A}">
      <text>
        <r>
          <rPr>
            <b/>
            <sz val="9"/>
            <color indexed="81"/>
            <rFont val="Tahoma"/>
            <family val="2"/>
          </rPr>
          <t>Alec Dawson Shepherd:</t>
        </r>
        <r>
          <rPr>
            <sz val="9"/>
            <color indexed="81"/>
            <rFont val="Tahoma"/>
            <family val="2"/>
          </rPr>
          <t xml:space="preserve">
Committee for the Settlement of Disputes</t>
        </r>
      </text>
    </comment>
    <comment ref="BC40" authorId="0" shapeId="0" xr:uid="{BD68F7F8-4925-4B8B-8010-5D87CD9540B3}">
      <text>
        <r>
          <rPr>
            <b/>
            <sz val="9"/>
            <color indexed="81"/>
            <rFont val="Tahoma"/>
            <family val="2"/>
          </rPr>
          <t>Alec Dawson Shepherd:</t>
        </r>
        <r>
          <rPr>
            <sz val="9"/>
            <color indexed="81"/>
            <rFont val="Tahoma"/>
            <family val="2"/>
          </rPr>
          <t xml:space="preserve">
Contracting Parties</t>
        </r>
      </text>
    </comment>
    <comment ref="BD40" authorId="0" shapeId="0" xr:uid="{FF7BFB77-7F08-48CC-B119-1AA5CE4E18FF}">
      <text>
        <r>
          <rPr>
            <b/>
            <sz val="9"/>
            <color indexed="81"/>
            <rFont val="Tahoma"/>
            <family val="2"/>
          </rPr>
          <t>Alec Dawson Shepherd:</t>
        </r>
        <r>
          <rPr>
            <sz val="9"/>
            <color indexed="81"/>
            <rFont val="Tahoma"/>
            <family val="2"/>
          </rPr>
          <t xml:space="preserve">
Competent Authority (National)</t>
        </r>
      </text>
    </comment>
    <comment ref="BE40" authorId="0" shapeId="0" xr:uid="{0E5E2066-E8E6-4D6F-9879-8247E46BE3B2}">
      <text>
        <r>
          <rPr>
            <b/>
            <sz val="9"/>
            <color indexed="81"/>
            <rFont val="Tahoma"/>
            <family val="2"/>
          </rPr>
          <t>Alec Dawson Shepherd:</t>
        </r>
        <r>
          <rPr>
            <sz val="9"/>
            <color indexed="81"/>
            <rFont val="Tahoma"/>
            <family val="2"/>
          </rPr>
          <t xml:space="preserve">
Private Sector</t>
        </r>
      </text>
    </comment>
    <comment ref="BF40" authorId="0" shapeId="0" xr:uid="{4F9C8470-DA37-4BA5-8994-0E938760B242}">
      <text>
        <r>
          <rPr>
            <b/>
            <sz val="9"/>
            <color indexed="81"/>
            <rFont val="Tahoma"/>
            <family val="2"/>
          </rPr>
          <t xml:space="preserve">Alec Dawson Shepherd:
</t>
        </r>
        <r>
          <rPr>
            <sz val="9"/>
            <color indexed="81"/>
            <rFont val="Tahoma"/>
            <family val="2"/>
          </rPr>
          <t>Civil Society</t>
        </r>
      </text>
    </comment>
    <comment ref="BG40" authorId="0" shapeId="0" xr:uid="{473BE372-225A-495C-8717-5B2955D9EF5C}">
      <text>
        <r>
          <rPr>
            <b/>
            <sz val="9"/>
            <color indexed="81"/>
            <rFont val="Tahoma"/>
            <family val="2"/>
          </rPr>
          <t>Alec Dawson Shepherd:</t>
        </r>
        <r>
          <rPr>
            <sz val="9"/>
            <color indexed="81"/>
            <rFont val="Tahoma"/>
            <family val="2"/>
          </rPr>
          <t xml:space="preserve">
Consultant/Contractor</t>
        </r>
      </text>
    </comment>
    <comment ref="BL43" authorId="0" shapeId="0" xr:uid="{A541106A-719A-47A8-9C67-2B2F96971CE1}">
      <text>
        <r>
          <rPr>
            <b/>
            <sz val="9"/>
            <color indexed="81"/>
            <rFont val="Tahoma"/>
            <charset val="1"/>
          </rPr>
          <t>Alec Dawson Shepherd:</t>
        </r>
        <r>
          <rPr>
            <sz val="9"/>
            <color indexed="81"/>
            <rFont val="Tahoma"/>
            <charset val="1"/>
          </rPr>
          <t xml:space="preserve">
2 x Regional and national  trainings (8 x 2 x $US3,000).</t>
        </r>
      </text>
    </comment>
    <comment ref="BN43" authorId="0" shapeId="0" xr:uid="{74DE97AB-52B8-4C80-ACBD-FAD3EA3B14B9}">
      <text>
        <r>
          <rPr>
            <b/>
            <sz val="9"/>
            <color indexed="81"/>
            <rFont val="Tahoma"/>
          </rPr>
          <t>Alec Dawson Shepherd:</t>
        </r>
        <r>
          <rPr>
            <sz val="9"/>
            <color indexed="81"/>
            <rFont val="Tahoma"/>
          </rPr>
          <t xml:space="preserve">
Cross-costed under IV.02.18.</t>
        </r>
      </text>
    </comment>
    <comment ref="BL44" authorId="0" shapeId="0" xr:uid="{B319D734-5255-48CA-B3DD-29A8CD9EF9DE}">
      <text>
        <r>
          <rPr>
            <b/>
            <sz val="9"/>
            <color indexed="81"/>
            <rFont val="Tahoma"/>
            <charset val="1"/>
          </rPr>
          <t>Alec Dawson Shepherd:</t>
        </r>
        <r>
          <rPr>
            <sz val="9"/>
            <color indexed="81"/>
            <rFont val="Tahoma"/>
            <charset val="1"/>
          </rPr>
          <t xml:space="preserve">
2 x Regional and national  trainings (8 x 2 x $US3,000).</t>
        </r>
      </text>
    </comment>
    <comment ref="BN44" authorId="0" shapeId="0" xr:uid="{482A76A9-C12B-4C7D-BDED-8706EE348D02}">
      <text>
        <r>
          <rPr>
            <b/>
            <sz val="9"/>
            <color indexed="81"/>
            <rFont val="Tahoma"/>
          </rPr>
          <t>Alec Dawson Shepherd:</t>
        </r>
        <r>
          <rPr>
            <sz val="9"/>
            <color indexed="81"/>
            <rFont val="Tahoma"/>
          </rPr>
          <t xml:space="preserve">
Cross-costed under IV.02.18.</t>
        </r>
      </text>
    </comment>
    <comment ref="BK45" authorId="0" shapeId="0" xr:uid="{67A81652-BFA3-4901-BB0C-2E1D4531EDBF}">
      <text>
        <r>
          <rPr>
            <b/>
            <sz val="9"/>
            <color indexed="81"/>
            <rFont val="Tahoma"/>
          </rPr>
          <t>Alec Dawson Shepherd:</t>
        </r>
        <r>
          <rPr>
            <sz val="9"/>
            <color indexed="81"/>
            <rFont val="Tahoma"/>
          </rPr>
          <t xml:space="preserve">
 7 x $US250 for incidental travel.</t>
        </r>
      </text>
    </comment>
    <comment ref="BL45" authorId="0" shapeId="0" xr:uid="{FAA0FE41-6881-4275-BB23-9474DB74A893}">
      <text>
        <r>
          <rPr>
            <b/>
            <sz val="9"/>
            <color indexed="81"/>
            <rFont val="Tahoma"/>
            <charset val="1"/>
          </rPr>
          <t>Alec Dawson Shepherd:</t>
        </r>
        <r>
          <rPr>
            <sz val="9"/>
            <color indexed="81"/>
            <rFont val="Tahoma"/>
            <charset val="1"/>
          </rPr>
          <t xml:space="preserve">
2 x Regional and national  trainings (8 x 2 x $US3,000).</t>
        </r>
      </text>
    </comment>
    <comment ref="BM45" authorId="0" shapeId="0" xr:uid="{BBD88AA0-093E-4131-9945-79BEE7740DC3}">
      <text>
        <r>
          <rPr>
            <b/>
            <sz val="9"/>
            <color indexed="81"/>
            <rFont val="Tahoma"/>
          </rPr>
          <t>Alec Dawson Shepherd:</t>
        </r>
        <r>
          <rPr>
            <sz val="9"/>
            <color indexed="81"/>
            <rFont val="Tahoma"/>
          </rPr>
          <t xml:space="preserve">
7 x $US100 for incidental goods. 7 x $US5000 for survey equipment 7 x $US20,000 for boundary demarcation Action demonstration pilots.</t>
        </r>
      </text>
    </comment>
    <comment ref="BN45" authorId="0" shapeId="0" xr:uid="{CE437A4E-EAF1-459F-8F66-07037787B3D3}">
      <text>
        <r>
          <rPr>
            <b/>
            <sz val="9"/>
            <color indexed="81"/>
            <rFont val="Tahoma"/>
          </rPr>
          <t>Alec Dawson Shepherd:</t>
        </r>
        <r>
          <rPr>
            <sz val="9"/>
            <color indexed="81"/>
            <rFont val="Tahoma"/>
          </rPr>
          <t xml:space="preserve">
Cross-costed under IV.02.18.</t>
        </r>
      </text>
    </comment>
    <comment ref="BL46" authorId="0" shapeId="0" xr:uid="{13F3D58D-43A0-4D61-8096-A24F6779AA01}">
      <text>
        <r>
          <rPr>
            <b/>
            <sz val="9"/>
            <color indexed="81"/>
            <rFont val="Tahoma"/>
            <charset val="1"/>
          </rPr>
          <t>Alec Dawson Shepherd:</t>
        </r>
        <r>
          <rPr>
            <sz val="9"/>
            <color indexed="81"/>
            <rFont val="Tahoma"/>
            <charset val="1"/>
          </rPr>
          <t xml:space="preserve">
2 x Regional and national  trainings (8 x 2 x $US3,000).</t>
        </r>
      </text>
    </comment>
    <comment ref="BN46" authorId="0" shapeId="0" xr:uid="{4B111CC2-E552-4A40-A9E5-06C6FB062AB2}">
      <text>
        <r>
          <rPr>
            <b/>
            <sz val="9"/>
            <color indexed="81"/>
            <rFont val="Tahoma"/>
          </rPr>
          <t>Alec Dawson Shepherd:</t>
        </r>
        <r>
          <rPr>
            <sz val="9"/>
            <color indexed="81"/>
            <rFont val="Tahoma"/>
          </rPr>
          <t xml:space="preserve">
Cross-costed under IV.02.18.</t>
        </r>
      </text>
    </comment>
    <comment ref="BJ47" authorId="0" shapeId="0" xr:uid="{966CF62D-F75E-48EA-945C-451C5E45025C}">
      <text>
        <r>
          <rPr>
            <b/>
            <sz val="9"/>
            <color indexed="81"/>
            <rFont val="Tahoma"/>
          </rPr>
          <t>Alec Dawson Shepherd:</t>
        </r>
        <r>
          <rPr>
            <sz val="9"/>
            <color indexed="81"/>
            <rFont val="Tahoma"/>
          </rPr>
          <t xml:space="preserve">
If legislative action is required.</t>
        </r>
      </text>
    </comment>
    <comment ref="BN47" authorId="0" shapeId="0" xr:uid="{D781BC43-A46A-49CA-9CAE-808C33E1918C}">
      <text>
        <r>
          <rPr>
            <b/>
            <sz val="9"/>
            <color indexed="81"/>
            <rFont val="Tahoma"/>
          </rPr>
          <t>Alec Dawson Shepherd:</t>
        </r>
        <r>
          <rPr>
            <sz val="9"/>
            <color indexed="81"/>
            <rFont val="Tahoma"/>
          </rPr>
          <t xml:space="preserve">
Cross-costed under IV.02.18.</t>
        </r>
      </text>
    </comment>
    <comment ref="BJ48" authorId="0" shapeId="0" xr:uid="{ACEF0A3A-2AA7-43FD-941A-4E84C59A70CE}">
      <text>
        <r>
          <rPr>
            <b/>
            <sz val="9"/>
            <color indexed="81"/>
            <rFont val="Tahoma"/>
          </rPr>
          <t>Alec Dawson Shepherd:</t>
        </r>
        <r>
          <rPr>
            <sz val="9"/>
            <color indexed="81"/>
            <rFont val="Tahoma"/>
          </rPr>
          <t xml:space="preserve">
If legislative action is required.</t>
        </r>
      </text>
    </comment>
    <comment ref="BN48" authorId="0" shapeId="0" xr:uid="{3FCFB737-17B8-4454-B40A-8A6C7F792F41}">
      <text>
        <r>
          <rPr>
            <b/>
            <sz val="9"/>
            <color indexed="81"/>
            <rFont val="Tahoma"/>
          </rPr>
          <t>Alec Dawson Shepherd:</t>
        </r>
        <r>
          <rPr>
            <sz val="9"/>
            <color indexed="81"/>
            <rFont val="Tahoma"/>
          </rPr>
          <t xml:space="preserve">
Cross-costed under IV.02.18.</t>
        </r>
      </text>
    </comment>
    <comment ref="BJ49" authorId="0" shapeId="0" xr:uid="{7F3D358D-7DDB-4E8C-819C-52FD733F58E2}">
      <text>
        <r>
          <rPr>
            <b/>
            <sz val="9"/>
            <color indexed="81"/>
            <rFont val="Tahoma"/>
          </rPr>
          <t>Alec Dawson Shepherd:</t>
        </r>
        <r>
          <rPr>
            <sz val="9"/>
            <color indexed="81"/>
            <rFont val="Tahoma"/>
          </rPr>
          <t xml:space="preserve">
If legislative action is required.</t>
        </r>
      </text>
    </comment>
    <comment ref="BN49" authorId="0" shapeId="0" xr:uid="{7B926322-5EBD-40B4-A0EF-D92997C169F2}">
      <text>
        <r>
          <rPr>
            <b/>
            <sz val="9"/>
            <color indexed="81"/>
            <rFont val="Tahoma"/>
          </rPr>
          <t>Alec Dawson Shepherd:</t>
        </r>
        <r>
          <rPr>
            <sz val="9"/>
            <color indexed="81"/>
            <rFont val="Tahoma"/>
          </rPr>
          <t xml:space="preserve">
Cross-costed under IV.02.18.</t>
        </r>
      </text>
    </comment>
    <comment ref="BJ50" authorId="0" shapeId="0" xr:uid="{926CE0D1-D2B1-47C0-AE7E-3226B12FA5AE}">
      <text>
        <r>
          <rPr>
            <b/>
            <sz val="9"/>
            <color indexed="81"/>
            <rFont val="Tahoma"/>
          </rPr>
          <t>Alec Dawson Shepherd:</t>
        </r>
        <r>
          <rPr>
            <sz val="9"/>
            <color indexed="81"/>
            <rFont val="Tahoma"/>
          </rPr>
          <t xml:space="preserve">
If legislative action is required.</t>
        </r>
      </text>
    </comment>
    <comment ref="BN50" authorId="0" shapeId="0" xr:uid="{63B12365-ED0D-4FBE-86FA-8AB7F87B3962}">
      <text>
        <r>
          <rPr>
            <b/>
            <sz val="9"/>
            <color indexed="81"/>
            <rFont val="Tahoma"/>
          </rPr>
          <t>Alec Dawson Shepherd:</t>
        </r>
        <r>
          <rPr>
            <sz val="9"/>
            <color indexed="81"/>
            <rFont val="Tahoma"/>
          </rPr>
          <t xml:space="preserve">
Cross-costed under IV.02.18.</t>
        </r>
      </text>
    </comment>
    <comment ref="BI51" authorId="0" shapeId="0" xr:uid="{3B7EF8FB-D3D9-4043-B688-B130768F1623}">
      <text>
        <r>
          <rPr>
            <b/>
            <sz val="9"/>
            <color indexed="81"/>
            <rFont val="Tahoma"/>
          </rPr>
          <t>Alec Dawson Shepherd:</t>
        </r>
        <r>
          <rPr>
            <sz val="9"/>
            <color indexed="81"/>
            <rFont val="Tahoma"/>
          </rPr>
          <t xml:space="preserve">
Regional guidelines $US5,000
National prioritization 7 x $US3,000
Capacity building assessment 8 x $US3,000.</t>
        </r>
      </text>
    </comment>
    <comment ref="BJ51" authorId="0" shapeId="0" xr:uid="{BD9709E1-04C7-4863-BDDA-B1B42645FEF8}">
      <text>
        <r>
          <rPr>
            <b/>
            <sz val="9"/>
            <color indexed="81"/>
            <rFont val="Tahoma"/>
          </rPr>
          <t>Alec Dawson Shepherd:</t>
        </r>
        <r>
          <rPr>
            <sz val="9"/>
            <color indexed="81"/>
            <rFont val="Tahoma"/>
          </rPr>
          <t xml:space="preserve">
If legislative action is required.</t>
        </r>
      </text>
    </comment>
    <comment ref="BL51" authorId="0" shapeId="0" xr:uid="{D60E71E1-E3F2-4DAE-B63B-E4E86D94F739}">
      <text>
        <r>
          <rPr>
            <b/>
            <sz val="9"/>
            <color indexed="81"/>
            <rFont val="Tahoma"/>
            <charset val="1"/>
          </rPr>
          <t>Alec Dawson Shepherd:</t>
        </r>
        <r>
          <rPr>
            <sz val="9"/>
            <color indexed="81"/>
            <rFont val="Tahoma"/>
            <charset val="1"/>
          </rPr>
          <t xml:space="preserve">
2 x Regional and national  trainings (8 x 2 x $US3,000).</t>
        </r>
      </text>
    </comment>
    <comment ref="BN51" authorId="0" shapeId="0" xr:uid="{83E9E51A-9F6E-43B9-AE9F-87F49E213ECA}">
      <text>
        <r>
          <rPr>
            <b/>
            <sz val="9"/>
            <color indexed="81"/>
            <rFont val="Tahoma"/>
          </rPr>
          <t>Alec Dawson Shepherd:</t>
        </r>
        <r>
          <rPr>
            <sz val="9"/>
            <color indexed="81"/>
            <rFont val="Tahoma"/>
          </rPr>
          <t xml:space="preserve">
Cross-costed under IV.02.18.</t>
        </r>
      </text>
    </comment>
    <comment ref="BI52" authorId="0" shapeId="0" xr:uid="{DD1766A2-1CEA-46A4-90DA-2C3DBC3C5DA6}">
      <text>
        <r>
          <rPr>
            <b/>
            <sz val="9"/>
            <color indexed="81"/>
            <rFont val="Tahoma"/>
          </rPr>
          <t>Alec Dawson Shepherd:</t>
        </r>
        <r>
          <rPr>
            <sz val="9"/>
            <color indexed="81"/>
            <rFont val="Tahoma"/>
          </rPr>
          <t xml:space="preserve">
Strategic review $US5,000
Regional guidelines $US5,000
National prioritization 7 x $US3,000
Capacity building assessment 8 x $US3,000.</t>
        </r>
      </text>
    </comment>
    <comment ref="BJ52" authorId="0" shapeId="0" xr:uid="{78F0A255-FD11-47E2-A1E4-8BB95EC1BF23}">
      <text>
        <r>
          <rPr>
            <b/>
            <sz val="9"/>
            <color indexed="81"/>
            <rFont val="Tahoma"/>
          </rPr>
          <t>Alec Dawson Shepherd:</t>
        </r>
        <r>
          <rPr>
            <sz val="9"/>
            <color indexed="81"/>
            <rFont val="Tahoma"/>
          </rPr>
          <t xml:space="preserve">
If legislative action is required.</t>
        </r>
      </text>
    </comment>
    <comment ref="BL52" authorId="0" shapeId="0" xr:uid="{EF6FFF51-DFFB-420F-B7B9-7F8F5702A444}">
      <text>
        <r>
          <rPr>
            <b/>
            <sz val="9"/>
            <color indexed="81"/>
            <rFont val="Tahoma"/>
            <charset val="1"/>
          </rPr>
          <t>Alec Dawson Shepherd:</t>
        </r>
        <r>
          <rPr>
            <sz val="9"/>
            <color indexed="81"/>
            <rFont val="Tahoma"/>
            <charset val="1"/>
          </rPr>
          <t xml:space="preserve">
2 x Regional and national  trainings (8 x 2 x $US3,000).</t>
        </r>
      </text>
    </comment>
    <comment ref="BN52" authorId="0" shapeId="0" xr:uid="{703CCC7F-6E6D-4A00-B5C8-7A0FC209393F}">
      <text>
        <r>
          <rPr>
            <b/>
            <sz val="9"/>
            <color indexed="81"/>
            <rFont val="Tahoma"/>
          </rPr>
          <t>Alec Dawson Shepherd:</t>
        </r>
        <r>
          <rPr>
            <sz val="9"/>
            <color indexed="81"/>
            <rFont val="Tahoma"/>
          </rPr>
          <t xml:space="preserve">
Cross-costed under IV.02.18.</t>
        </r>
      </text>
    </comment>
    <comment ref="BI53" authorId="0" shapeId="0" xr:uid="{805CEF9E-18E0-4ACE-A18F-A2EDEB03A3B2}">
      <text>
        <r>
          <rPr>
            <b/>
            <sz val="9"/>
            <color indexed="81"/>
            <rFont val="Tahoma"/>
          </rPr>
          <t>Alec Dawson Shepherd:</t>
        </r>
        <r>
          <rPr>
            <sz val="9"/>
            <color indexed="81"/>
            <rFont val="Tahoma"/>
          </rPr>
          <t xml:space="preserve">
Support for accesstion 7 x $US3000
Capacity building assessment 8 x $US3,000.</t>
        </r>
      </text>
    </comment>
    <comment ref="BJ53" authorId="0" shapeId="0" xr:uid="{612A544F-81E4-40E4-992B-53B55796699F}">
      <text>
        <r>
          <rPr>
            <b/>
            <sz val="9"/>
            <color indexed="81"/>
            <rFont val="Tahoma"/>
          </rPr>
          <t>Alec Dawson Shepherd:</t>
        </r>
        <r>
          <rPr>
            <sz val="9"/>
            <color indexed="81"/>
            <rFont val="Tahoma"/>
          </rPr>
          <t xml:space="preserve">
If legislative action is required.</t>
        </r>
      </text>
    </comment>
    <comment ref="BL53" authorId="0" shapeId="0" xr:uid="{619651A2-D421-4BB9-834A-C8B7A30C9FC7}">
      <text>
        <r>
          <rPr>
            <b/>
            <sz val="9"/>
            <color indexed="81"/>
            <rFont val="Tahoma"/>
            <charset val="1"/>
          </rPr>
          <t>Alec Dawson Shepherd:</t>
        </r>
        <r>
          <rPr>
            <sz val="9"/>
            <color indexed="81"/>
            <rFont val="Tahoma"/>
            <charset val="1"/>
          </rPr>
          <t xml:space="preserve">
2 x Regional and national  trainings (8 x 2 x $US3,000).</t>
        </r>
      </text>
    </comment>
    <comment ref="BN53" authorId="0" shapeId="0" xr:uid="{74B42E9B-5FFD-403D-BAFC-50505E72ACB4}">
      <text>
        <r>
          <rPr>
            <b/>
            <sz val="9"/>
            <color indexed="81"/>
            <rFont val="Tahoma"/>
          </rPr>
          <t>Alec Dawson Shepherd:</t>
        </r>
        <r>
          <rPr>
            <sz val="9"/>
            <color indexed="81"/>
            <rFont val="Tahoma"/>
          </rPr>
          <t xml:space="preserve">
Cross-costed under IV.02.18.</t>
        </r>
      </text>
    </comment>
    <comment ref="BI54" authorId="0" shapeId="0" xr:uid="{3E9C2160-A7DF-4EBA-986C-ADA98C42A252}">
      <text>
        <r>
          <rPr>
            <b/>
            <sz val="9"/>
            <color indexed="81"/>
            <rFont val="Tahoma"/>
          </rPr>
          <t>Alec Dawson Shepherd:</t>
        </r>
        <r>
          <rPr>
            <sz val="9"/>
            <color indexed="81"/>
            <rFont val="Tahoma"/>
          </rPr>
          <t xml:space="preserve">
Regional guidelines $US5,000
Identify status 7 x $US1,000
Support accession 7 x $US1,000
National prioritization 7 x $US3,000
Capacity building assessment 8 x $US3,000.</t>
        </r>
      </text>
    </comment>
    <comment ref="BJ54" authorId="0" shapeId="0" xr:uid="{5FC39EA0-D075-408C-90D1-0C7B7C71319D}">
      <text>
        <r>
          <rPr>
            <b/>
            <sz val="9"/>
            <color indexed="81"/>
            <rFont val="Tahoma"/>
          </rPr>
          <t>Alec Dawson Shepherd:</t>
        </r>
        <r>
          <rPr>
            <sz val="9"/>
            <color indexed="81"/>
            <rFont val="Tahoma"/>
          </rPr>
          <t xml:space="preserve">
If legislative action is required.</t>
        </r>
      </text>
    </comment>
    <comment ref="BL54" authorId="0" shapeId="0" xr:uid="{1D8CA16E-D3AD-4229-99CC-81B8302DA2E7}">
      <text>
        <r>
          <rPr>
            <b/>
            <sz val="9"/>
            <color indexed="81"/>
            <rFont val="Tahoma"/>
            <charset val="1"/>
          </rPr>
          <t>Alec Dawson Shepherd:</t>
        </r>
        <r>
          <rPr>
            <sz val="9"/>
            <color indexed="81"/>
            <rFont val="Tahoma"/>
            <charset val="1"/>
          </rPr>
          <t xml:space="preserve">
2 x Regional and national  trainings (8 x 2 x $US3,000).</t>
        </r>
      </text>
    </comment>
    <comment ref="BN54" authorId="0" shapeId="0" xr:uid="{00E316EA-D32F-4D7F-8B6B-C56D3A2DD999}">
      <text>
        <r>
          <rPr>
            <b/>
            <sz val="9"/>
            <color indexed="81"/>
            <rFont val="Tahoma"/>
          </rPr>
          <t>Alec Dawson Shepherd:</t>
        </r>
        <r>
          <rPr>
            <sz val="9"/>
            <color indexed="81"/>
            <rFont val="Tahoma"/>
          </rPr>
          <t xml:space="preserve">
Cross-costed under IV.02.18.</t>
        </r>
      </text>
    </comment>
    <comment ref="BI60" authorId="0" shapeId="0" xr:uid="{AFC4E970-45FB-4147-9C5F-0F26B6BBB71A}">
      <text>
        <r>
          <rPr>
            <b/>
            <sz val="9"/>
            <color indexed="81"/>
            <rFont val="Tahoma"/>
          </rPr>
          <t>Alec Dawson Shepherd:</t>
        </r>
        <r>
          <rPr>
            <sz val="9"/>
            <color indexed="81"/>
            <rFont val="Tahoma"/>
          </rPr>
          <t xml:space="preserve">
Regional guidelines $US5,000
Identify status $US7 x $US1,000
Capacity building assessment 8 x $US3,000.</t>
        </r>
      </text>
    </comment>
    <comment ref="BJ60" authorId="0" shapeId="0" xr:uid="{0BDAE355-7AFB-4820-A0B3-1BC78A00D17B}">
      <text>
        <r>
          <rPr>
            <b/>
            <sz val="9"/>
            <color indexed="81"/>
            <rFont val="Tahoma"/>
          </rPr>
          <t>Alec Dawson Shepherd:</t>
        </r>
        <r>
          <rPr>
            <sz val="9"/>
            <color indexed="81"/>
            <rFont val="Tahoma"/>
          </rPr>
          <t xml:space="preserve">
If legislative action is required.</t>
        </r>
      </text>
    </comment>
    <comment ref="BL60" authorId="0" shapeId="0" xr:uid="{F9B62C58-E2C8-400D-97FB-7D7932CC04EA}">
      <text>
        <r>
          <rPr>
            <b/>
            <sz val="9"/>
            <color indexed="81"/>
            <rFont val="Tahoma"/>
            <charset val="1"/>
          </rPr>
          <t>Alec Dawson Shepherd:</t>
        </r>
        <r>
          <rPr>
            <sz val="9"/>
            <color indexed="81"/>
            <rFont val="Tahoma"/>
            <charset val="1"/>
          </rPr>
          <t xml:space="preserve">
2 x Regional and national  trainings (8 x 2 x $US3,000).</t>
        </r>
      </text>
    </comment>
    <comment ref="BN60" authorId="0" shapeId="0" xr:uid="{C2AF179A-C62B-4F9D-9F3D-F55156E3899B}">
      <text>
        <r>
          <rPr>
            <b/>
            <sz val="9"/>
            <color indexed="81"/>
            <rFont val="Tahoma"/>
          </rPr>
          <t>Alec Dawson Shepherd:</t>
        </r>
        <r>
          <rPr>
            <sz val="9"/>
            <color indexed="81"/>
            <rFont val="Tahoma"/>
          </rPr>
          <t xml:space="preserve">
Cross-costed under IV.02.18.</t>
        </r>
      </text>
    </comment>
    <comment ref="BI61" authorId="0" shapeId="0" xr:uid="{8E17EA39-D269-4EB8-8E4B-8B8A084F8E3E}">
      <text>
        <r>
          <rPr>
            <b/>
            <sz val="9"/>
            <color indexed="81"/>
            <rFont val="Tahoma"/>
          </rPr>
          <t>Alec Dawson Shepherd:</t>
        </r>
        <r>
          <rPr>
            <sz val="9"/>
            <color indexed="81"/>
            <rFont val="Tahoma"/>
          </rPr>
          <t xml:space="preserve">
Regional guidelines $US5,000
Executive regulations drafting is under legislation.
Capacity building assessment 8 x $US3,000.</t>
        </r>
      </text>
    </comment>
    <comment ref="BJ61" authorId="0" shapeId="0" xr:uid="{13E17F8A-D5D5-41E2-99F5-944114D41C28}">
      <text>
        <r>
          <rPr>
            <b/>
            <sz val="9"/>
            <color indexed="81"/>
            <rFont val="Tahoma"/>
          </rPr>
          <t>Alec Dawson Shepherd:</t>
        </r>
        <r>
          <rPr>
            <sz val="9"/>
            <color indexed="81"/>
            <rFont val="Tahoma"/>
          </rPr>
          <t xml:space="preserve">
If legislative action is required.</t>
        </r>
      </text>
    </comment>
    <comment ref="BL61" authorId="0" shapeId="0" xr:uid="{B41A59C6-D23F-4CC7-B1E6-B49A7D352DA3}">
      <text>
        <r>
          <rPr>
            <b/>
            <sz val="9"/>
            <color indexed="81"/>
            <rFont val="Tahoma"/>
            <charset val="1"/>
          </rPr>
          <t>Alec Dawson Shepherd:</t>
        </r>
        <r>
          <rPr>
            <sz val="9"/>
            <color indexed="81"/>
            <rFont val="Tahoma"/>
            <charset val="1"/>
          </rPr>
          <t xml:space="preserve">
2 x Regional and national  trainings (8 x 2 x $US3,000).</t>
        </r>
      </text>
    </comment>
    <comment ref="BN61" authorId="0" shapeId="0" xr:uid="{4AB8AB13-9CC0-419D-92AF-1BA4E2C05D30}">
      <text>
        <r>
          <rPr>
            <b/>
            <sz val="9"/>
            <color indexed="81"/>
            <rFont val="Tahoma"/>
          </rPr>
          <t>Alec Dawson Shepherd:</t>
        </r>
        <r>
          <rPr>
            <sz val="9"/>
            <color indexed="81"/>
            <rFont val="Tahoma"/>
          </rPr>
          <t xml:space="preserve">
Cross-costed under IV.02.18.</t>
        </r>
      </text>
    </comment>
    <comment ref="BI62" authorId="0" shapeId="0" xr:uid="{4B6298FE-CC68-40AA-B588-A66AB8FE7AB5}">
      <text>
        <r>
          <rPr>
            <b/>
            <sz val="9"/>
            <color indexed="81"/>
            <rFont val="Tahoma"/>
          </rPr>
          <t>Alec Dawson Shepherd:</t>
        </r>
        <r>
          <rPr>
            <sz val="9"/>
            <color indexed="81"/>
            <rFont val="Tahoma"/>
          </rPr>
          <t xml:space="preserve">
Issues identification 7 x $US3,000
Legislative support under legislation
Capacity building assessment 8 x $US3,000.</t>
        </r>
      </text>
    </comment>
    <comment ref="BJ62" authorId="0" shapeId="0" xr:uid="{D000DD73-EBCF-4AB5-849F-EDF6106AF333}">
      <text>
        <r>
          <rPr>
            <b/>
            <sz val="9"/>
            <color indexed="81"/>
            <rFont val="Tahoma"/>
          </rPr>
          <t>Alec Dawson Shepherd:</t>
        </r>
        <r>
          <rPr>
            <sz val="9"/>
            <color indexed="81"/>
            <rFont val="Tahoma"/>
          </rPr>
          <t xml:space="preserve">
If legislative action is required.</t>
        </r>
      </text>
    </comment>
    <comment ref="BL62" authorId="0" shapeId="0" xr:uid="{7D210268-B443-4E7A-B922-5A67F9B650E8}">
      <text>
        <r>
          <rPr>
            <b/>
            <sz val="9"/>
            <color indexed="81"/>
            <rFont val="Tahoma"/>
            <charset val="1"/>
          </rPr>
          <t>Alec Dawson Shepherd:</t>
        </r>
        <r>
          <rPr>
            <sz val="9"/>
            <color indexed="81"/>
            <rFont val="Tahoma"/>
            <charset val="1"/>
          </rPr>
          <t xml:space="preserve">
2 x Regional and national  trainings (8 x 2 x $US3,000).</t>
        </r>
      </text>
    </comment>
    <comment ref="BN62" authorId="0" shapeId="0" xr:uid="{D6ED9108-6FDD-42F7-9A40-511F271299E0}">
      <text>
        <r>
          <rPr>
            <b/>
            <sz val="9"/>
            <color indexed="81"/>
            <rFont val="Tahoma"/>
          </rPr>
          <t>Alec Dawson Shepherd:</t>
        </r>
        <r>
          <rPr>
            <sz val="9"/>
            <color indexed="81"/>
            <rFont val="Tahoma"/>
          </rPr>
          <t xml:space="preserve">
Cross-costed under IV.02.18.</t>
        </r>
      </text>
    </comment>
    <comment ref="AA67" authorId="0" shapeId="0" xr:uid="{E1ED1510-203E-47BE-B12C-8E81C32B1674}">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67" authorId="0" shapeId="0" xr:uid="{F9E54763-F51F-4AB7-AD51-9FC28F4F6CAE}">
      <text>
        <r>
          <rPr>
            <b/>
            <sz val="9"/>
            <color indexed="81"/>
            <rFont val="Tahoma"/>
            <family val="2"/>
          </rPr>
          <t>Alec Dawson Shepherd:</t>
        </r>
        <r>
          <rPr>
            <sz val="9"/>
            <color indexed="81"/>
            <rFont val="Tahoma"/>
            <family val="2"/>
          </rPr>
          <t xml:space="preserve">
The estimated percentage extent to which the action has been completed.</t>
        </r>
      </text>
    </comment>
    <comment ref="AZ70" authorId="0" shapeId="0" xr:uid="{259F5F55-250D-4AE6-9D87-A46D57B8F2AF}">
      <text>
        <r>
          <rPr>
            <b/>
            <sz val="9"/>
            <color indexed="81"/>
            <rFont val="Tahoma"/>
            <family val="2"/>
          </rPr>
          <t>Alec Dawson Shepherd:</t>
        </r>
        <r>
          <rPr>
            <sz val="9"/>
            <color indexed="81"/>
            <rFont val="Tahoma"/>
            <family val="2"/>
          </rPr>
          <t xml:space="preserve">
Council</t>
        </r>
      </text>
    </comment>
    <comment ref="BA70" authorId="0" shapeId="0" xr:uid="{C1F69D52-2BA7-4287-B605-AC4177147E75}">
      <text>
        <r>
          <rPr>
            <b/>
            <sz val="9"/>
            <color indexed="81"/>
            <rFont val="Tahoma"/>
            <family val="2"/>
          </rPr>
          <t>Alec Dawson Shepherd:</t>
        </r>
        <r>
          <rPr>
            <sz val="9"/>
            <color indexed="81"/>
            <rFont val="Tahoma"/>
            <family val="2"/>
          </rPr>
          <t xml:space="preserve">
General Secretariat</t>
        </r>
      </text>
    </comment>
    <comment ref="BB70" authorId="0" shapeId="0" xr:uid="{FF6EC297-67FC-4597-BA66-8A1D77602C32}">
      <text>
        <r>
          <rPr>
            <b/>
            <sz val="9"/>
            <color indexed="81"/>
            <rFont val="Tahoma"/>
            <family val="2"/>
          </rPr>
          <t>Alec Dawson Shepherd:</t>
        </r>
        <r>
          <rPr>
            <sz val="9"/>
            <color indexed="81"/>
            <rFont val="Tahoma"/>
            <family val="2"/>
          </rPr>
          <t xml:space="preserve">
Committee for the Settlement of Disputes</t>
        </r>
      </text>
    </comment>
    <comment ref="BC70" authorId="0" shapeId="0" xr:uid="{E8143F8D-F46D-467D-8FD1-0B143ED7C680}">
      <text>
        <r>
          <rPr>
            <b/>
            <sz val="9"/>
            <color indexed="81"/>
            <rFont val="Tahoma"/>
            <family val="2"/>
          </rPr>
          <t>Alec Dawson Shepherd:</t>
        </r>
        <r>
          <rPr>
            <sz val="9"/>
            <color indexed="81"/>
            <rFont val="Tahoma"/>
            <family val="2"/>
          </rPr>
          <t xml:space="preserve">
Contracting Parties</t>
        </r>
      </text>
    </comment>
    <comment ref="BD70" authorId="0" shapeId="0" xr:uid="{57E84828-B910-4FAF-9A1F-0C323BA50DB4}">
      <text>
        <r>
          <rPr>
            <b/>
            <sz val="9"/>
            <color indexed="81"/>
            <rFont val="Tahoma"/>
            <family val="2"/>
          </rPr>
          <t>Alec Dawson Shepherd:</t>
        </r>
        <r>
          <rPr>
            <sz val="9"/>
            <color indexed="81"/>
            <rFont val="Tahoma"/>
            <family val="2"/>
          </rPr>
          <t xml:space="preserve">
Competent Authority (National)</t>
        </r>
      </text>
    </comment>
    <comment ref="BE70" authorId="0" shapeId="0" xr:uid="{A3F1960E-468E-4FF1-A3BF-581AC154B395}">
      <text>
        <r>
          <rPr>
            <b/>
            <sz val="9"/>
            <color indexed="81"/>
            <rFont val="Tahoma"/>
            <family val="2"/>
          </rPr>
          <t>Alec Dawson Shepherd:</t>
        </r>
        <r>
          <rPr>
            <sz val="9"/>
            <color indexed="81"/>
            <rFont val="Tahoma"/>
            <family val="2"/>
          </rPr>
          <t xml:space="preserve">
Private Sector</t>
        </r>
      </text>
    </comment>
    <comment ref="BF70" authorId="0" shapeId="0" xr:uid="{2172CB49-1D5D-4521-A179-EE2A127833A2}">
      <text>
        <r>
          <rPr>
            <b/>
            <sz val="9"/>
            <color indexed="81"/>
            <rFont val="Tahoma"/>
            <family val="2"/>
          </rPr>
          <t xml:space="preserve">Alec Dawson Shepherd:
</t>
        </r>
        <r>
          <rPr>
            <sz val="9"/>
            <color indexed="81"/>
            <rFont val="Tahoma"/>
            <family val="2"/>
          </rPr>
          <t>Civil Society</t>
        </r>
      </text>
    </comment>
    <comment ref="BG70" authorId="0" shapeId="0" xr:uid="{95E0F8E2-0DE2-4E75-A3BA-5B54511A94B2}">
      <text>
        <r>
          <rPr>
            <b/>
            <sz val="9"/>
            <color indexed="81"/>
            <rFont val="Tahoma"/>
            <family val="2"/>
          </rPr>
          <t>Alec Dawson Shepherd:</t>
        </r>
        <r>
          <rPr>
            <sz val="9"/>
            <color indexed="81"/>
            <rFont val="Tahoma"/>
            <family val="2"/>
          </rPr>
          <t xml:space="preserve">
Consultant/Contractor</t>
        </r>
      </text>
    </comment>
    <comment ref="BI73" authorId="0" shapeId="0" xr:uid="{F369C83C-8B08-4A1E-931A-CC0F1DE4032C}">
      <text>
        <r>
          <rPr>
            <b/>
            <sz val="9"/>
            <color indexed="81"/>
            <rFont val="Tahoma"/>
          </rPr>
          <t>Alec Dawson Shepherd:</t>
        </r>
        <r>
          <rPr>
            <sz val="9"/>
            <color indexed="81"/>
            <rFont val="Tahoma"/>
          </rPr>
          <t xml:space="preserve">
Regional guidelines and Standards $US5,000
Infrastructure needs assessment 7 x $US3,000
Shore facilities identification 7 x $US1000
Funding identification 7 x $US1000
Business planning 7 x $US1000
Infrastructure improvement plans 7 x $US3,000
Capacity building needs assessment 8 x $US3,000</t>
        </r>
      </text>
    </comment>
    <comment ref="BJ73" authorId="0" shapeId="0" xr:uid="{FC022AC6-540E-4D90-83A5-AE0EEF00FADF}">
      <text>
        <r>
          <rPr>
            <b/>
            <sz val="9"/>
            <color indexed="81"/>
            <rFont val="Tahoma"/>
          </rPr>
          <t>Alec Dawson Shepherd:</t>
        </r>
        <r>
          <rPr>
            <sz val="9"/>
            <color indexed="81"/>
            <rFont val="Tahoma"/>
          </rPr>
          <t xml:space="preserve">
If legislative action is required.</t>
        </r>
      </text>
    </comment>
    <comment ref="BL73" authorId="0" shapeId="0" xr:uid="{9C29EFE9-6104-4A56-BEB7-8316C35CF240}">
      <text>
        <r>
          <rPr>
            <b/>
            <sz val="9"/>
            <color indexed="81"/>
            <rFont val="Tahoma"/>
            <charset val="1"/>
          </rPr>
          <t>Alec Dawson Shepherd:</t>
        </r>
        <r>
          <rPr>
            <sz val="9"/>
            <color indexed="81"/>
            <rFont val="Tahoma"/>
            <charset val="1"/>
          </rPr>
          <t xml:space="preserve">
2 x Regional and national  trainings (8 x 2 x $US3,000).</t>
        </r>
      </text>
    </comment>
    <comment ref="BM73" authorId="0" shapeId="0" xr:uid="{37F818DC-3140-44E0-9C04-25CD39C8F647}">
      <text>
        <r>
          <rPr>
            <b/>
            <sz val="9"/>
            <color indexed="81"/>
            <rFont val="Tahoma"/>
            <charset val="1"/>
          </rPr>
          <t>Alec Dawson Shepherd:</t>
        </r>
        <r>
          <rPr>
            <sz val="9"/>
            <color indexed="81"/>
            <rFont val="Tahoma"/>
            <charset val="1"/>
          </rPr>
          <t xml:space="preserve">
7 national demonstration pilots for IUU fisheries management related infrastructure (7 x $US100,000)</t>
        </r>
      </text>
    </comment>
    <comment ref="BN73" authorId="0" shapeId="0" xr:uid="{927676CE-DC19-4B7D-8B6D-A1BFE61D5D4B}">
      <text>
        <r>
          <rPr>
            <b/>
            <sz val="9"/>
            <color indexed="81"/>
            <rFont val="Tahoma"/>
          </rPr>
          <t>Alec Dawson Shepherd:</t>
        </r>
        <r>
          <rPr>
            <sz val="9"/>
            <color indexed="81"/>
            <rFont val="Tahoma"/>
          </rPr>
          <t xml:space="preserve">
Cross-costed under IV.02.18.</t>
        </r>
      </text>
    </comment>
    <comment ref="BI74" authorId="0" shapeId="0" xr:uid="{1360831D-6DC1-4D6F-A8B3-3BD2051FA32E}">
      <text>
        <r>
          <rPr>
            <b/>
            <sz val="9"/>
            <color indexed="81"/>
            <rFont val="Tahoma"/>
          </rPr>
          <t>Alec Dawson Shepherd:</t>
        </r>
        <r>
          <rPr>
            <sz val="9"/>
            <color indexed="81"/>
            <rFont val="Tahoma"/>
          </rPr>
          <t xml:space="preserve">
Regional standard</t>
        </r>
      </text>
    </comment>
    <comment ref="BJ74" authorId="0" shapeId="0" xr:uid="{B05D0F59-A5A5-4DEF-AFC9-24BE18ABC149}">
      <text>
        <r>
          <rPr>
            <b/>
            <sz val="9"/>
            <color indexed="81"/>
            <rFont val="Tahoma"/>
          </rPr>
          <t>Alec Dawson Shepherd:</t>
        </r>
        <r>
          <rPr>
            <sz val="9"/>
            <color indexed="81"/>
            <rFont val="Tahoma"/>
          </rPr>
          <t xml:space="preserve">
If legislative action is required.</t>
        </r>
      </text>
    </comment>
    <comment ref="BL74" authorId="0" shapeId="0" xr:uid="{94E846A2-2F97-4BF4-8733-883B0A7E5300}">
      <text>
        <r>
          <rPr>
            <b/>
            <sz val="9"/>
            <color indexed="81"/>
            <rFont val="Tahoma"/>
            <charset val="1"/>
          </rPr>
          <t>Alec Dawson Shepherd:</t>
        </r>
        <r>
          <rPr>
            <sz val="9"/>
            <color indexed="81"/>
            <rFont val="Tahoma"/>
            <charset val="1"/>
          </rPr>
          <t xml:space="preserve">
2 x Regional and national  trainings (8 x 2 x $US3,000).</t>
        </r>
      </text>
    </comment>
    <comment ref="BN74" authorId="0" shapeId="0" xr:uid="{05E3AADB-B050-45D5-AEF3-652633E256D4}">
      <text>
        <r>
          <rPr>
            <b/>
            <sz val="9"/>
            <color indexed="81"/>
            <rFont val="Tahoma"/>
          </rPr>
          <t>Alec Dawson Shepherd:</t>
        </r>
        <r>
          <rPr>
            <sz val="9"/>
            <color indexed="81"/>
            <rFont val="Tahoma"/>
          </rPr>
          <t xml:space="preserve">
Cross-costed under IV.02.18.</t>
        </r>
      </text>
    </comment>
    <comment ref="BI75" authorId="0" shapeId="0" xr:uid="{0106C084-003F-42C2-8139-57922966F255}">
      <text>
        <r>
          <rPr>
            <b/>
            <sz val="9"/>
            <color indexed="81"/>
            <rFont val="Tahoma"/>
          </rPr>
          <t>Alec Dawson Shepherd:</t>
        </r>
        <r>
          <rPr>
            <sz val="9"/>
            <color indexed="81"/>
            <rFont val="Tahoma"/>
          </rPr>
          <t xml:space="preserve">
Regional standard. $US5000.
Legislative support 7 x $US1000.
Legislative drafting under legislation.</t>
        </r>
      </text>
    </comment>
    <comment ref="BJ75" authorId="0" shapeId="0" xr:uid="{9D27374F-8CEE-4112-B87A-4AB087CE7AFF}">
      <text>
        <r>
          <rPr>
            <b/>
            <sz val="9"/>
            <color indexed="81"/>
            <rFont val="Tahoma"/>
          </rPr>
          <t>Alec Dawson Shepherd:</t>
        </r>
        <r>
          <rPr>
            <sz val="9"/>
            <color indexed="81"/>
            <rFont val="Tahoma"/>
          </rPr>
          <t xml:space="preserve">
Legislative drafting 7 x $US1000</t>
        </r>
      </text>
    </comment>
    <comment ref="BL75" authorId="0" shapeId="0" xr:uid="{53BA7F40-82BB-4169-B668-F334DCE33689}">
      <text>
        <r>
          <rPr>
            <b/>
            <sz val="9"/>
            <color indexed="81"/>
            <rFont val="Tahoma"/>
            <charset val="1"/>
          </rPr>
          <t>Alec Dawson Shepherd:</t>
        </r>
        <r>
          <rPr>
            <sz val="9"/>
            <color indexed="81"/>
            <rFont val="Tahoma"/>
            <charset val="1"/>
          </rPr>
          <t xml:space="preserve">
2 x Regional and national  trainings (8 x 2 x $US3,000).</t>
        </r>
      </text>
    </comment>
    <comment ref="BN75" authorId="0" shapeId="0" xr:uid="{30DF696E-69A2-4757-B172-B0B6595F70FB}">
      <text>
        <r>
          <rPr>
            <b/>
            <sz val="9"/>
            <color indexed="81"/>
            <rFont val="Tahoma"/>
          </rPr>
          <t>Alec Dawson Shepherd:</t>
        </r>
        <r>
          <rPr>
            <sz val="9"/>
            <color indexed="81"/>
            <rFont val="Tahoma"/>
          </rPr>
          <t xml:space="preserve">
Cross-costed under IV.02.18.</t>
        </r>
      </text>
    </comment>
    <comment ref="BI76" authorId="0" shapeId="0" xr:uid="{11C32D55-0F80-4913-A0F5-32F93AA9CC2C}">
      <text>
        <r>
          <rPr>
            <b/>
            <sz val="9"/>
            <color indexed="81"/>
            <rFont val="Tahoma"/>
          </rPr>
          <t>Alec Dawson Shepherd:</t>
        </r>
        <r>
          <rPr>
            <sz val="9"/>
            <color indexed="81"/>
            <rFont val="Tahoma"/>
          </rPr>
          <t xml:space="preserve">
Regional standards. $US5000.
Legislative support 7 x $US1000.
Legislative drafting under legislation.</t>
        </r>
      </text>
    </comment>
    <comment ref="BJ76" authorId="0" shapeId="0" xr:uid="{AC103E1E-E762-4DC8-AD94-B09053195B54}">
      <text>
        <r>
          <rPr>
            <b/>
            <sz val="9"/>
            <color indexed="81"/>
            <rFont val="Tahoma"/>
          </rPr>
          <t>Alec Dawson Shepherd:</t>
        </r>
        <r>
          <rPr>
            <sz val="9"/>
            <color indexed="81"/>
            <rFont val="Tahoma"/>
          </rPr>
          <t xml:space="preserve">
Legislative drafting 7x$US1000</t>
        </r>
      </text>
    </comment>
    <comment ref="BL76" authorId="0" shapeId="0" xr:uid="{41267246-85CE-4F7A-872B-F60661AE315B}">
      <text>
        <r>
          <rPr>
            <b/>
            <sz val="9"/>
            <color indexed="81"/>
            <rFont val="Tahoma"/>
            <charset val="1"/>
          </rPr>
          <t>Alec Dawson Shepherd:</t>
        </r>
        <r>
          <rPr>
            <sz val="9"/>
            <color indexed="81"/>
            <rFont val="Tahoma"/>
            <charset val="1"/>
          </rPr>
          <t xml:space="preserve">
2 x Regional and national  trainings (8 x 2 x $US3,000).</t>
        </r>
      </text>
    </comment>
    <comment ref="BN76" authorId="0" shapeId="0" xr:uid="{4FB45882-C5F4-4F30-A0C3-5C9DFC45B6F9}">
      <text>
        <r>
          <rPr>
            <b/>
            <sz val="9"/>
            <color indexed="81"/>
            <rFont val="Tahoma"/>
          </rPr>
          <t>Alec Dawson Shepherd:</t>
        </r>
        <r>
          <rPr>
            <sz val="9"/>
            <color indexed="81"/>
            <rFont val="Tahoma"/>
          </rPr>
          <t xml:space="preserve">
Cross-costed under IV.02.18.</t>
        </r>
      </text>
    </comment>
    <comment ref="BI77" authorId="0" shapeId="0" xr:uid="{09A0E39F-E615-4859-97C4-21642CB75F16}">
      <text>
        <r>
          <rPr>
            <b/>
            <sz val="9"/>
            <color indexed="81"/>
            <rFont val="Tahoma"/>
          </rPr>
          <t>Alec Dawson Shepherd:</t>
        </r>
        <r>
          <rPr>
            <sz val="9"/>
            <color indexed="81"/>
            <rFont val="Tahoma"/>
          </rPr>
          <t xml:space="preserve">
Regional guideline $US5,000
Management plans 14*$US3,000
Capcity building needs assessment  $US5000</t>
        </r>
      </text>
    </comment>
    <comment ref="BJ77" authorId="0" shapeId="0" xr:uid="{D5C54742-8985-46ED-B117-BB2ACA1CB479}">
      <text>
        <r>
          <rPr>
            <b/>
            <sz val="9"/>
            <color indexed="81"/>
            <rFont val="Tahoma"/>
          </rPr>
          <t>Alec Dawson Shepherd:</t>
        </r>
        <r>
          <rPr>
            <sz val="9"/>
            <color indexed="81"/>
            <rFont val="Tahoma"/>
          </rPr>
          <t xml:space="preserve">
If legislative action is required.</t>
        </r>
      </text>
    </comment>
    <comment ref="BL77" authorId="0" shapeId="0" xr:uid="{E2AF770D-EE9C-46AD-8024-9B652813BE04}">
      <text>
        <r>
          <rPr>
            <b/>
            <sz val="9"/>
            <color indexed="81"/>
            <rFont val="Tahoma"/>
            <charset val="1"/>
          </rPr>
          <t>Alec Dawson Shepherd:</t>
        </r>
        <r>
          <rPr>
            <sz val="9"/>
            <color indexed="81"/>
            <rFont val="Tahoma"/>
            <charset val="1"/>
          </rPr>
          <t xml:space="preserve">
2 x Regional and national  trainings (8 x 2 x $US3,000).</t>
        </r>
      </text>
    </comment>
    <comment ref="BN77" authorId="0" shapeId="0" xr:uid="{9A4DA12B-1D70-4962-AF40-6FA81CB17CD3}">
      <text>
        <r>
          <rPr>
            <b/>
            <sz val="9"/>
            <color indexed="81"/>
            <rFont val="Tahoma"/>
          </rPr>
          <t>Alec Dawson Shepherd:</t>
        </r>
        <r>
          <rPr>
            <sz val="9"/>
            <color indexed="81"/>
            <rFont val="Tahoma"/>
          </rPr>
          <t xml:space="preserve">
Cross-costed under IV.02.18.</t>
        </r>
      </text>
    </comment>
    <comment ref="BJ83" authorId="0" shapeId="0" xr:uid="{4F58B164-6867-4218-B079-E0EBFEF52E85}">
      <text>
        <r>
          <rPr>
            <b/>
            <sz val="9"/>
            <color indexed="81"/>
            <rFont val="Tahoma"/>
          </rPr>
          <t>Alec Dawson Shepherd:</t>
        </r>
        <r>
          <rPr>
            <sz val="9"/>
            <color indexed="81"/>
            <rFont val="Tahoma"/>
          </rPr>
          <t xml:space="preserve">
Legal drafting 8 x $US500</t>
        </r>
      </text>
    </comment>
    <comment ref="BN83" authorId="0" shapeId="0" xr:uid="{EEF0D3C5-1EA3-455D-AC77-2160712EE15B}">
      <text>
        <r>
          <rPr>
            <b/>
            <sz val="9"/>
            <color indexed="81"/>
            <rFont val="Tahoma"/>
          </rPr>
          <t>Alec Dawson Shepherd:</t>
        </r>
        <r>
          <rPr>
            <sz val="9"/>
            <color indexed="81"/>
            <rFont val="Tahoma"/>
          </rPr>
          <t xml:space="preserve">
Cross-costed under IV.02.18.</t>
        </r>
      </text>
    </comment>
    <comment ref="BJ84" authorId="0" shapeId="0" xr:uid="{718BF168-06E9-4285-886D-4BAE26E75826}">
      <text>
        <r>
          <rPr>
            <b/>
            <sz val="9"/>
            <color indexed="81"/>
            <rFont val="Tahoma"/>
          </rPr>
          <t>Alec Dawson Shepherd:</t>
        </r>
        <r>
          <rPr>
            <sz val="9"/>
            <color indexed="81"/>
            <rFont val="Tahoma"/>
          </rPr>
          <t xml:space="preserve">
Legal drafting 7 x $US500</t>
        </r>
      </text>
    </comment>
    <comment ref="BN84" authorId="0" shapeId="0" xr:uid="{3553D6C7-C5C8-4B4F-AF0E-BCB22F5C1240}">
      <text>
        <r>
          <rPr>
            <b/>
            <sz val="9"/>
            <color indexed="81"/>
            <rFont val="Tahoma"/>
          </rPr>
          <t>Alec Dawson Shepherd:</t>
        </r>
        <r>
          <rPr>
            <sz val="9"/>
            <color indexed="81"/>
            <rFont val="Tahoma"/>
          </rPr>
          <t xml:space="preserve">
Cross-costed under IV.02.18.</t>
        </r>
      </text>
    </comment>
    <comment ref="BI85" authorId="0" shapeId="0" xr:uid="{240C2498-8BB4-4D09-92A9-50645A9B5044}">
      <text>
        <r>
          <rPr>
            <b/>
            <sz val="9"/>
            <color indexed="81"/>
            <rFont val="Tahoma"/>
          </rPr>
          <t>Alec Dawson Shepherd:</t>
        </r>
        <r>
          <rPr>
            <sz val="9"/>
            <color indexed="81"/>
            <rFont val="Tahoma"/>
          </rPr>
          <t xml:space="preserve">
Regional Guidelines and Standards $US5000
Caoacity building needs assessment 8 x $US1000</t>
        </r>
      </text>
    </comment>
    <comment ref="BJ85" authorId="0" shapeId="0" xr:uid="{A3960FC4-2F08-4F0B-9F8D-91FC9DB6EA0E}">
      <text>
        <r>
          <rPr>
            <b/>
            <sz val="9"/>
            <color indexed="81"/>
            <rFont val="Tahoma"/>
          </rPr>
          <t>Alec Dawson Shepherd:</t>
        </r>
        <r>
          <rPr>
            <sz val="9"/>
            <color indexed="81"/>
            <rFont val="Tahoma"/>
          </rPr>
          <t xml:space="preserve">
If legislative action is required.</t>
        </r>
      </text>
    </comment>
    <comment ref="BM85" authorId="0" shapeId="0" xr:uid="{892ED474-94F8-4CA5-8586-F59A6E3A7073}">
      <text>
        <r>
          <rPr>
            <b/>
            <sz val="9"/>
            <color indexed="81"/>
            <rFont val="Tahoma"/>
            <charset val="1"/>
          </rPr>
          <t>Alec Dawson Shepherd:</t>
        </r>
        <r>
          <rPr>
            <sz val="9"/>
            <color indexed="81"/>
            <rFont val="Tahoma"/>
            <charset val="1"/>
          </rPr>
          <t xml:space="preserve">
7 x national demonstration pilot surveys for SPAG (7 x $US50,000)</t>
        </r>
      </text>
    </comment>
    <comment ref="BN85" authorId="0" shapeId="0" xr:uid="{16DEA95E-A1C1-4F9F-9E5E-11ABD977B487}">
      <text>
        <r>
          <rPr>
            <b/>
            <sz val="9"/>
            <color indexed="81"/>
            <rFont val="Tahoma"/>
          </rPr>
          <t>Alec Dawson Shepherd:</t>
        </r>
        <r>
          <rPr>
            <sz val="9"/>
            <color indexed="81"/>
            <rFont val="Tahoma"/>
          </rPr>
          <t xml:space="preserve">
Cross-costed under IV.02.18.</t>
        </r>
      </text>
    </comment>
    <comment ref="BI86" authorId="0" shapeId="0" xr:uid="{5E4CD44A-6EC3-40C5-806B-A680EE5FD5AF}">
      <text>
        <r>
          <rPr>
            <b/>
            <sz val="9"/>
            <color indexed="81"/>
            <rFont val="Tahoma"/>
          </rPr>
          <t>Alec Dawson Shepherd:</t>
        </r>
        <r>
          <rPr>
            <sz val="9"/>
            <color indexed="81"/>
            <rFont val="Tahoma"/>
          </rPr>
          <t xml:space="preserve">
Regional Guidelines and Standards for designation $US5000
Caoacity building needs assessment 8 x $US1000</t>
        </r>
      </text>
    </comment>
    <comment ref="BN86" authorId="0" shapeId="0" xr:uid="{B51B7052-0D9A-432F-A008-F1DF6A9BD58B}">
      <text>
        <r>
          <rPr>
            <b/>
            <sz val="9"/>
            <color indexed="81"/>
            <rFont val="Tahoma"/>
          </rPr>
          <t>Alec Dawson Shepherd:</t>
        </r>
        <r>
          <rPr>
            <sz val="9"/>
            <color indexed="81"/>
            <rFont val="Tahoma"/>
          </rPr>
          <t xml:space="preserve">
Cross-costed under IV.02.18.</t>
        </r>
      </text>
    </comment>
    <comment ref="BI87" authorId="0" shapeId="0" xr:uid="{EF036DFF-D1AB-48A4-8FCE-DDA3DA1494D9}">
      <text>
        <r>
          <rPr>
            <b/>
            <sz val="9"/>
            <color indexed="81"/>
            <rFont val="Tahoma"/>
          </rPr>
          <t>Alec Dawson Shepherd:</t>
        </r>
        <r>
          <rPr>
            <sz val="9"/>
            <color indexed="81"/>
            <rFont val="Tahoma"/>
          </rPr>
          <t xml:space="preserve">
Regional Guideline and standards $US5000
Plan development 14*3000
Support for Plan approval 14 x $US1000
</t>
        </r>
      </text>
    </comment>
    <comment ref="BJ87" authorId="0" shapeId="0" xr:uid="{FBDCF8F8-CDF0-437C-A119-4B794B3A7384}">
      <text>
        <r>
          <rPr>
            <b/>
            <sz val="9"/>
            <color indexed="81"/>
            <rFont val="Tahoma"/>
          </rPr>
          <t>Alec Dawson Shepherd:</t>
        </r>
        <r>
          <rPr>
            <sz val="9"/>
            <color indexed="81"/>
            <rFont val="Tahoma"/>
          </rPr>
          <t xml:space="preserve">
If legislative action is required.</t>
        </r>
      </text>
    </comment>
    <comment ref="BK87" authorId="0" shapeId="0" xr:uid="{DC1E32A6-A371-40EE-BCFB-59AEDD2F0A7E}">
      <text>
        <r>
          <rPr>
            <b/>
            <sz val="9"/>
            <color indexed="81"/>
            <rFont val="Tahoma"/>
            <charset val="1"/>
          </rPr>
          <t>Alec Dawson Shepherd:</t>
        </r>
        <r>
          <rPr>
            <sz val="9"/>
            <color indexed="81"/>
            <rFont val="Tahoma"/>
            <charset val="1"/>
          </rPr>
          <t xml:space="preserve">
Cost of Site visits to 2 SPAG in each Country (7 x 2 x $US5000) </t>
        </r>
      </text>
    </comment>
    <comment ref="BL87" authorId="0" shapeId="0" xr:uid="{50AC7FF7-D32D-4342-965A-ABAB78E6C3D3}">
      <text>
        <r>
          <rPr>
            <b/>
            <sz val="9"/>
            <color indexed="81"/>
            <rFont val="Tahoma"/>
            <charset val="1"/>
          </rPr>
          <t>Alec Dawson Shepherd:</t>
        </r>
        <r>
          <rPr>
            <sz val="9"/>
            <color indexed="81"/>
            <rFont val="Tahoma"/>
            <charset val="1"/>
          </rPr>
          <t xml:space="preserve">
2 x Regional and national  trainings (8 x 2 x $US3,000).</t>
        </r>
      </text>
    </comment>
    <comment ref="BN87" authorId="0" shapeId="0" xr:uid="{A90CF7B3-7A11-4F0E-A7D8-EBF4B9D9CF9C}">
      <text>
        <r>
          <rPr>
            <b/>
            <sz val="9"/>
            <color indexed="81"/>
            <rFont val="Tahoma"/>
          </rPr>
          <t>Alec Dawson Shepherd:</t>
        </r>
        <r>
          <rPr>
            <sz val="9"/>
            <color indexed="81"/>
            <rFont val="Tahoma"/>
          </rPr>
          <t xml:space="preserve">
Cross-costed under IV.02.18.</t>
        </r>
      </text>
    </comment>
    <comment ref="AA92" authorId="0" shapeId="0" xr:uid="{8745D951-A764-4A65-BAA1-7BDC243CBE52}">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92" authorId="0" shapeId="0" xr:uid="{9A2EA650-6DFA-4AA7-80C5-1DF02E1D9487}">
      <text>
        <r>
          <rPr>
            <b/>
            <sz val="9"/>
            <color indexed="81"/>
            <rFont val="Tahoma"/>
            <family val="2"/>
          </rPr>
          <t>Alec Dawson Shepherd:</t>
        </r>
        <r>
          <rPr>
            <sz val="9"/>
            <color indexed="81"/>
            <rFont val="Tahoma"/>
            <family val="2"/>
          </rPr>
          <t xml:space="preserve">
The estimated percentage extent to which the action has been completed.</t>
        </r>
      </text>
    </comment>
    <comment ref="AZ95" authorId="0" shapeId="0" xr:uid="{13704538-0C47-4ABE-A989-78DE8BEBE29C}">
      <text>
        <r>
          <rPr>
            <b/>
            <sz val="9"/>
            <color indexed="81"/>
            <rFont val="Tahoma"/>
            <family val="2"/>
          </rPr>
          <t>Alec Dawson Shepherd:</t>
        </r>
        <r>
          <rPr>
            <sz val="9"/>
            <color indexed="81"/>
            <rFont val="Tahoma"/>
            <family val="2"/>
          </rPr>
          <t xml:space="preserve">
Council</t>
        </r>
      </text>
    </comment>
    <comment ref="BA95" authorId="0" shapeId="0" xr:uid="{A05C2AE5-1EB3-43AC-B645-DCF63B8BA0E7}">
      <text>
        <r>
          <rPr>
            <b/>
            <sz val="9"/>
            <color indexed="81"/>
            <rFont val="Tahoma"/>
            <family val="2"/>
          </rPr>
          <t>Alec Dawson Shepherd:</t>
        </r>
        <r>
          <rPr>
            <sz val="9"/>
            <color indexed="81"/>
            <rFont val="Tahoma"/>
            <family val="2"/>
          </rPr>
          <t xml:space="preserve">
General Secretariat</t>
        </r>
      </text>
    </comment>
    <comment ref="BB95" authorId="0" shapeId="0" xr:uid="{160B915F-F8D1-4400-8EEC-81FFA34EF01D}">
      <text>
        <r>
          <rPr>
            <b/>
            <sz val="9"/>
            <color indexed="81"/>
            <rFont val="Tahoma"/>
            <family val="2"/>
          </rPr>
          <t>Alec Dawson Shepherd:</t>
        </r>
        <r>
          <rPr>
            <sz val="9"/>
            <color indexed="81"/>
            <rFont val="Tahoma"/>
            <family val="2"/>
          </rPr>
          <t xml:space="preserve">
Committee for the Settlement of Disputes</t>
        </r>
      </text>
    </comment>
    <comment ref="BC95" authorId="0" shapeId="0" xr:uid="{E79D8C56-1DC3-46FF-B696-F34906203CA3}">
      <text>
        <r>
          <rPr>
            <b/>
            <sz val="9"/>
            <color indexed="81"/>
            <rFont val="Tahoma"/>
            <family val="2"/>
          </rPr>
          <t>Alec Dawson Shepherd:</t>
        </r>
        <r>
          <rPr>
            <sz val="9"/>
            <color indexed="81"/>
            <rFont val="Tahoma"/>
            <family val="2"/>
          </rPr>
          <t xml:space="preserve">
Contracting Parties</t>
        </r>
      </text>
    </comment>
    <comment ref="BD95" authorId="0" shapeId="0" xr:uid="{25FCE43E-DB4A-4B6F-BC8A-D6B41098B8AB}">
      <text>
        <r>
          <rPr>
            <b/>
            <sz val="9"/>
            <color indexed="81"/>
            <rFont val="Tahoma"/>
            <family val="2"/>
          </rPr>
          <t>Alec Dawson Shepherd:</t>
        </r>
        <r>
          <rPr>
            <sz val="9"/>
            <color indexed="81"/>
            <rFont val="Tahoma"/>
            <family val="2"/>
          </rPr>
          <t xml:space="preserve">
Competent Authority (National)</t>
        </r>
      </text>
    </comment>
    <comment ref="BE95" authorId="0" shapeId="0" xr:uid="{0AD050C2-1643-480A-A5DC-79B7C2B7ED02}">
      <text>
        <r>
          <rPr>
            <b/>
            <sz val="9"/>
            <color indexed="81"/>
            <rFont val="Tahoma"/>
            <family val="2"/>
          </rPr>
          <t>Alec Dawson Shepherd:</t>
        </r>
        <r>
          <rPr>
            <sz val="9"/>
            <color indexed="81"/>
            <rFont val="Tahoma"/>
            <family val="2"/>
          </rPr>
          <t xml:space="preserve">
Private Sector</t>
        </r>
      </text>
    </comment>
    <comment ref="BF95" authorId="0" shapeId="0" xr:uid="{3FFEF4B0-97D0-41FE-8E01-95994A490AF2}">
      <text>
        <r>
          <rPr>
            <b/>
            <sz val="9"/>
            <color indexed="81"/>
            <rFont val="Tahoma"/>
            <family val="2"/>
          </rPr>
          <t xml:space="preserve">Alec Dawson Shepherd:
</t>
        </r>
        <r>
          <rPr>
            <sz val="9"/>
            <color indexed="81"/>
            <rFont val="Tahoma"/>
            <family val="2"/>
          </rPr>
          <t>Civil Society</t>
        </r>
      </text>
    </comment>
    <comment ref="BG95" authorId="0" shapeId="0" xr:uid="{66DAEF39-3F33-4BE9-AB0B-B54719873853}">
      <text>
        <r>
          <rPr>
            <b/>
            <sz val="9"/>
            <color indexed="81"/>
            <rFont val="Tahoma"/>
            <family val="2"/>
          </rPr>
          <t>Alec Dawson Shepherd:</t>
        </r>
        <r>
          <rPr>
            <sz val="9"/>
            <color indexed="81"/>
            <rFont val="Tahoma"/>
            <family val="2"/>
          </rPr>
          <t xml:space="preserve">
Consultant/Contractor</t>
        </r>
      </text>
    </comment>
    <comment ref="BI98" authorId="0" shapeId="0" xr:uid="{1468C1A7-6BF5-4A6B-8093-89453089FBAF}">
      <text>
        <r>
          <rPr>
            <b/>
            <sz val="9"/>
            <color indexed="81"/>
            <rFont val="Tahoma"/>
            <family val="2"/>
          </rPr>
          <t>Alec Dawson Shepherd:</t>
        </r>
        <r>
          <rPr>
            <sz val="9"/>
            <color indexed="81"/>
            <rFont val="Tahoma"/>
            <family val="2"/>
          </rPr>
          <t xml:space="preserve">
Identification of Competent National Authority for fisher licensing.</t>
        </r>
      </text>
    </comment>
    <comment ref="BJ98" authorId="0" shapeId="0" xr:uid="{B70A7667-3D57-4739-A9D2-D9AEDAB0CACB}">
      <text>
        <r>
          <rPr>
            <b/>
            <sz val="9"/>
            <color indexed="81"/>
            <rFont val="Tahoma"/>
          </rPr>
          <t>Alec Dawson Shepherd:</t>
        </r>
        <r>
          <rPr>
            <sz val="9"/>
            <color indexed="81"/>
            <rFont val="Tahoma"/>
          </rPr>
          <t xml:space="preserve">
Legal drafting 8 x $US500 if necessary</t>
        </r>
      </text>
    </comment>
    <comment ref="BI99" authorId="0" shapeId="0" xr:uid="{C636C981-BFAE-4718-A270-84A0C99B3D27}">
      <text>
        <r>
          <rPr>
            <b/>
            <sz val="9"/>
            <color indexed="81"/>
            <rFont val="Tahoma"/>
            <family val="2"/>
          </rPr>
          <t>Alec Dawson Shepherd:</t>
        </r>
        <r>
          <rPr>
            <sz val="9"/>
            <color indexed="81"/>
            <rFont val="Tahoma"/>
            <family val="2"/>
          </rPr>
          <t xml:space="preserve">
Regional review 1 x $US8,000
National support for review 7 x 1000</t>
        </r>
      </text>
    </comment>
    <comment ref="BI100" authorId="0" shapeId="0" xr:uid="{9434C1EE-7ED2-4046-B553-EB3A1B80CA2B}">
      <text>
        <r>
          <rPr>
            <b/>
            <sz val="9"/>
            <color indexed="81"/>
            <rFont val="Tahoma"/>
            <family val="2"/>
          </rPr>
          <t>Alec Dawson Shepherd:</t>
        </r>
        <r>
          <rPr>
            <sz val="9"/>
            <color indexed="81"/>
            <rFont val="Tahoma"/>
            <family val="2"/>
          </rPr>
          <t xml:space="preserve">
Framework development $US5000
National support 7 x $US1000</t>
        </r>
      </text>
    </comment>
    <comment ref="BL100" authorId="0" shapeId="0" xr:uid="{5603646C-58E9-4C35-AB49-3C2E0F913AB9}">
      <text>
        <r>
          <rPr>
            <b/>
            <sz val="9"/>
            <color indexed="81"/>
            <rFont val="Tahoma"/>
            <charset val="1"/>
          </rPr>
          <t>Alec Dawson Shepherd:</t>
        </r>
        <r>
          <rPr>
            <sz val="9"/>
            <color indexed="81"/>
            <rFont val="Tahoma"/>
            <charset val="1"/>
          </rPr>
          <t xml:space="preserve">
2 x Regional and national  trainings (8 x 2 x $US3,000).</t>
        </r>
      </text>
    </comment>
    <comment ref="BN100" authorId="0" shapeId="0" xr:uid="{1674D0E3-209F-49F3-A4AC-1E955DA862B0}">
      <text>
        <r>
          <rPr>
            <b/>
            <sz val="9"/>
            <color indexed="81"/>
            <rFont val="Tahoma"/>
          </rPr>
          <t>Alec Dawson Shepherd:</t>
        </r>
        <r>
          <rPr>
            <sz val="9"/>
            <color indexed="81"/>
            <rFont val="Tahoma"/>
          </rPr>
          <t xml:space="preserve">
Cross-costed under IV.02.18.</t>
        </r>
      </text>
    </comment>
    <comment ref="BI101" authorId="0" shapeId="0" xr:uid="{E10CBAC3-2EFC-495D-B1D9-D4B813843D37}">
      <text>
        <r>
          <rPr>
            <b/>
            <sz val="9"/>
            <color indexed="81"/>
            <rFont val="Tahoma"/>
            <family val="2"/>
          </rPr>
          <t>Alec Dawson Shepherd:</t>
        </r>
        <r>
          <rPr>
            <sz val="9"/>
            <color indexed="81"/>
            <rFont val="Tahoma"/>
            <family val="2"/>
          </rPr>
          <t xml:space="preserve">
Support for legal drafting 8 x $US1000</t>
        </r>
      </text>
    </comment>
    <comment ref="BJ101" authorId="0" shapeId="0" xr:uid="{363E1BA9-A7B9-4453-9C5B-A1172E1AF1F8}">
      <text>
        <r>
          <rPr>
            <b/>
            <sz val="9"/>
            <color indexed="81"/>
            <rFont val="Tahoma"/>
            <family val="2"/>
          </rPr>
          <t>Alec Dawson Shepherd:</t>
        </r>
        <r>
          <rPr>
            <sz val="9"/>
            <color indexed="81"/>
            <rFont val="Tahoma"/>
            <family val="2"/>
          </rPr>
          <t xml:space="preserve">
Legal drafting 8 x $US1000</t>
        </r>
      </text>
    </comment>
    <comment ref="BL101" authorId="0" shapeId="0" xr:uid="{5D5514FB-6285-48F6-B7ED-06F20E7C8033}">
      <text>
        <r>
          <rPr>
            <b/>
            <sz val="9"/>
            <color indexed="81"/>
            <rFont val="Tahoma"/>
            <charset val="1"/>
          </rPr>
          <t>Alec Dawson Shepherd:</t>
        </r>
        <r>
          <rPr>
            <sz val="9"/>
            <color indexed="81"/>
            <rFont val="Tahoma"/>
            <charset val="1"/>
          </rPr>
          <t xml:space="preserve">
2 x Regional and national  trainings (8 x 2 x $US3,000).</t>
        </r>
      </text>
    </comment>
    <comment ref="BI107" authorId="0" shapeId="0" xr:uid="{BCFD0943-67A5-4268-9FD5-A55F11859760}">
      <text>
        <r>
          <rPr>
            <b/>
            <sz val="9"/>
            <color indexed="81"/>
            <rFont val="Tahoma"/>
            <family val="2"/>
          </rPr>
          <t>Alec Dawson Shepherd:</t>
        </r>
        <r>
          <rPr>
            <sz val="9"/>
            <color indexed="81"/>
            <rFont val="Tahoma"/>
            <family val="2"/>
          </rPr>
          <t xml:space="preserve">
Identification of Competent National Authority for fisher licensing.</t>
        </r>
      </text>
    </comment>
    <comment ref="BJ107" authorId="0" shapeId="0" xr:uid="{B5FE10FB-0621-4ED7-89B0-9AC8BDB5E920}">
      <text>
        <r>
          <rPr>
            <b/>
            <sz val="9"/>
            <color indexed="81"/>
            <rFont val="Tahoma"/>
          </rPr>
          <t>Alec Dawson Shepherd:</t>
        </r>
        <r>
          <rPr>
            <sz val="9"/>
            <color indexed="81"/>
            <rFont val="Tahoma"/>
          </rPr>
          <t xml:space="preserve">
Legal drafting 8 x $US500 if necessary</t>
        </r>
      </text>
    </comment>
    <comment ref="BI108" authorId="0" shapeId="0" xr:uid="{68C49CD9-7BAC-4DAB-947B-42AF853E0B3C}">
      <text>
        <r>
          <rPr>
            <b/>
            <sz val="9"/>
            <color indexed="81"/>
            <rFont val="Tahoma"/>
            <family val="2"/>
          </rPr>
          <t>Alec Dawson Shepherd:</t>
        </r>
        <r>
          <rPr>
            <sz val="9"/>
            <color indexed="81"/>
            <rFont val="Tahoma"/>
            <family val="2"/>
          </rPr>
          <t xml:space="preserve">
Regional review 1 x $US8,000
National support for review 7 x 1000</t>
        </r>
      </text>
    </comment>
    <comment ref="BI109" authorId="0" shapeId="0" xr:uid="{EF078147-9F1A-4BEF-A8AB-87AE2934A908}">
      <text>
        <r>
          <rPr>
            <b/>
            <sz val="9"/>
            <color indexed="81"/>
            <rFont val="Tahoma"/>
            <family val="2"/>
          </rPr>
          <t>Alec Dawson Shepherd:</t>
        </r>
        <r>
          <rPr>
            <sz val="9"/>
            <color indexed="81"/>
            <rFont val="Tahoma"/>
            <family val="2"/>
          </rPr>
          <t xml:space="preserve">
Framework development $US5000
National support 7 x $US1000</t>
        </r>
      </text>
    </comment>
    <comment ref="BL109" authorId="0" shapeId="0" xr:uid="{1D40D542-6211-4F0B-A58B-B788B8B26B94}">
      <text>
        <r>
          <rPr>
            <b/>
            <sz val="9"/>
            <color indexed="81"/>
            <rFont val="Tahoma"/>
            <charset val="1"/>
          </rPr>
          <t>Alec Dawson Shepherd:</t>
        </r>
        <r>
          <rPr>
            <sz val="9"/>
            <color indexed="81"/>
            <rFont val="Tahoma"/>
            <charset val="1"/>
          </rPr>
          <t xml:space="preserve">
2 x Regional and national  trainings (8 x 2 x $US3,000).</t>
        </r>
      </text>
    </comment>
    <comment ref="BN109" authorId="0" shapeId="0" xr:uid="{F47EC7A7-0EDF-485F-8FE4-24AC0765BB80}">
      <text>
        <r>
          <rPr>
            <b/>
            <sz val="9"/>
            <color indexed="81"/>
            <rFont val="Tahoma"/>
          </rPr>
          <t>Alec Dawson Shepherd:</t>
        </r>
        <r>
          <rPr>
            <sz val="9"/>
            <color indexed="81"/>
            <rFont val="Tahoma"/>
          </rPr>
          <t xml:space="preserve">
Cross-costed under IV.02.18.</t>
        </r>
      </text>
    </comment>
    <comment ref="BI110" authorId="0" shapeId="0" xr:uid="{BC49075E-E470-4D3E-BC24-F1E6F4DBF59D}">
      <text>
        <r>
          <rPr>
            <b/>
            <sz val="9"/>
            <color indexed="81"/>
            <rFont val="Tahoma"/>
            <family val="2"/>
          </rPr>
          <t>Alec Dawson Shepherd:</t>
        </r>
        <r>
          <rPr>
            <sz val="9"/>
            <color indexed="81"/>
            <rFont val="Tahoma"/>
            <family val="2"/>
          </rPr>
          <t xml:space="preserve">
Support for legal drafting 8 x $US1000</t>
        </r>
      </text>
    </comment>
    <comment ref="BJ110" authorId="0" shapeId="0" xr:uid="{ECAD2B3B-9EC5-4E87-AC8F-97A35918D1F1}">
      <text>
        <r>
          <rPr>
            <b/>
            <sz val="9"/>
            <color indexed="81"/>
            <rFont val="Tahoma"/>
            <family val="2"/>
          </rPr>
          <t>Alec Dawson Shepherd:</t>
        </r>
        <r>
          <rPr>
            <sz val="9"/>
            <color indexed="81"/>
            <rFont val="Tahoma"/>
            <family val="2"/>
          </rPr>
          <t xml:space="preserve">
Legal drafting 8 x $US1000</t>
        </r>
      </text>
    </comment>
    <comment ref="BL110" authorId="0" shapeId="0" xr:uid="{FD81B284-99DF-4F70-849A-EAEA4DD5DBB9}">
      <text>
        <r>
          <rPr>
            <b/>
            <sz val="9"/>
            <color indexed="81"/>
            <rFont val="Tahoma"/>
            <charset val="1"/>
          </rPr>
          <t>Alec Dawson Shepherd:</t>
        </r>
        <r>
          <rPr>
            <sz val="9"/>
            <color indexed="81"/>
            <rFont val="Tahoma"/>
            <charset val="1"/>
          </rPr>
          <t xml:space="preserve">
2 x Regional and national  trainings (8 x 2 x $US3,000).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Alec Dawson Shepherd</author>
  </authors>
  <commentList>
    <comment ref="AI14" authorId="0" shapeId="0" xr:uid="{5BAD70F2-2173-407A-BAFE-C62AA6071F5C}">
      <text>
        <r>
          <rPr>
            <b/>
            <sz val="9"/>
            <color indexed="81"/>
            <rFont val="Tahoma"/>
          </rPr>
          <t>Alec Dawson Shepherd:</t>
        </r>
        <r>
          <rPr>
            <sz val="9"/>
            <color indexed="81"/>
            <rFont val="Tahoma"/>
          </rPr>
          <t xml:space="preserve">
Cross-costed under IV.02.18.</t>
        </r>
      </text>
    </comment>
    <comment ref="AI19" authorId="0" shapeId="0" xr:uid="{40D798C5-8E43-4865-9755-43EC8798C117}">
      <text>
        <r>
          <rPr>
            <b/>
            <sz val="9"/>
            <color indexed="81"/>
            <rFont val="Tahoma"/>
          </rPr>
          <t>Alec Dawson Shepherd:</t>
        </r>
        <r>
          <rPr>
            <sz val="9"/>
            <color indexed="81"/>
            <rFont val="Tahoma"/>
          </rPr>
          <t xml:space="preserve">
Cross-costed under IV.02.18.</t>
        </r>
      </text>
    </comment>
    <comment ref="AI24" authorId="0" shapeId="0" xr:uid="{A4D7AB99-6925-478E-8C70-D1EE928338FC}">
      <text>
        <r>
          <rPr>
            <b/>
            <sz val="9"/>
            <color indexed="81"/>
            <rFont val="Tahoma"/>
          </rPr>
          <t>Alec Dawson Shepherd:</t>
        </r>
        <r>
          <rPr>
            <sz val="9"/>
            <color indexed="81"/>
            <rFont val="Tahoma"/>
          </rPr>
          <t xml:space="preserve">
Cross-costed under IV.02.18.</t>
        </r>
      </text>
    </comment>
    <comment ref="AI29" authorId="0" shapeId="0" xr:uid="{31859B55-16F5-4A54-994D-F18EC579F068}">
      <text>
        <r>
          <rPr>
            <b/>
            <sz val="9"/>
            <color indexed="81"/>
            <rFont val="Tahoma"/>
          </rPr>
          <t>Alec Dawson Shepherd:</t>
        </r>
        <r>
          <rPr>
            <sz val="9"/>
            <color indexed="81"/>
            <rFont val="Tahoma"/>
          </rPr>
          <t xml:space="preserve">
Cross-costed under IV.02.18.</t>
        </r>
      </text>
    </comment>
    <comment ref="AI33" authorId="0" shapeId="0" xr:uid="{797611C8-3A93-491C-955E-4349489B5911}">
      <text>
        <r>
          <rPr>
            <b/>
            <sz val="9"/>
            <color indexed="81"/>
            <rFont val="Tahoma"/>
          </rPr>
          <t>Alec Dawson Shepherd:</t>
        </r>
        <r>
          <rPr>
            <sz val="9"/>
            <color indexed="81"/>
            <rFont val="Tahoma"/>
          </rPr>
          <t xml:space="preserve">
Cross-costed under IV.02.18.</t>
        </r>
      </text>
    </comment>
    <comment ref="AI38" authorId="0" shapeId="0" xr:uid="{337C94E3-A6B0-419E-995B-C971DAB8D9D2}">
      <text>
        <r>
          <rPr>
            <b/>
            <sz val="9"/>
            <color indexed="81"/>
            <rFont val="Tahoma"/>
          </rPr>
          <t>Alec Dawson Shepherd:</t>
        </r>
        <r>
          <rPr>
            <sz val="9"/>
            <color indexed="81"/>
            <rFont val="Tahoma"/>
          </rPr>
          <t xml:space="preserve">
Cross-costed under IV.02.18.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Alec Dawson Shepherd</author>
  </authors>
  <commentList>
    <comment ref="AA6" authorId="0" shapeId="0" xr:uid="{E2DB42E3-D59B-49E4-BE15-2F2AE3D258D5}">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6" authorId="0" shapeId="0" xr:uid="{2C104405-A560-4134-B6A9-B99BAC2B5AF2}">
      <text>
        <r>
          <rPr>
            <b/>
            <sz val="9"/>
            <color indexed="81"/>
            <rFont val="Tahoma"/>
            <family val="2"/>
          </rPr>
          <t>Alec Dawson Shepherd:</t>
        </r>
        <r>
          <rPr>
            <sz val="9"/>
            <color indexed="81"/>
            <rFont val="Tahoma"/>
            <family val="2"/>
          </rPr>
          <t xml:space="preserve">
The estimated percentage extent to which the action has been completed.</t>
        </r>
      </text>
    </comment>
    <comment ref="AZ9" authorId="0" shapeId="0" xr:uid="{612A8299-A0E7-47C7-98E3-486465D0DC35}">
      <text>
        <r>
          <rPr>
            <b/>
            <sz val="9"/>
            <color indexed="81"/>
            <rFont val="Tahoma"/>
            <family val="2"/>
          </rPr>
          <t>Alec Dawson Shepherd:</t>
        </r>
        <r>
          <rPr>
            <sz val="9"/>
            <color indexed="81"/>
            <rFont val="Tahoma"/>
            <family val="2"/>
          </rPr>
          <t xml:space="preserve">
Council</t>
        </r>
      </text>
    </comment>
    <comment ref="BA9" authorId="0" shapeId="0" xr:uid="{27C1EF4E-2DE8-4685-9CEE-295E1DEBDE41}">
      <text>
        <r>
          <rPr>
            <b/>
            <sz val="9"/>
            <color indexed="81"/>
            <rFont val="Tahoma"/>
            <family val="2"/>
          </rPr>
          <t>Alec Dawson Shepherd:</t>
        </r>
        <r>
          <rPr>
            <sz val="9"/>
            <color indexed="81"/>
            <rFont val="Tahoma"/>
            <family val="2"/>
          </rPr>
          <t xml:space="preserve">
General Secretariat</t>
        </r>
      </text>
    </comment>
    <comment ref="BB9" authorId="0" shapeId="0" xr:uid="{5707A0D0-3599-448A-B01B-9FB91C1B4F1B}">
      <text>
        <r>
          <rPr>
            <b/>
            <sz val="9"/>
            <color indexed="81"/>
            <rFont val="Tahoma"/>
            <family val="2"/>
          </rPr>
          <t>Alec Dawson Shepherd:</t>
        </r>
        <r>
          <rPr>
            <sz val="9"/>
            <color indexed="81"/>
            <rFont val="Tahoma"/>
            <family val="2"/>
          </rPr>
          <t xml:space="preserve">
Committee for the Settlement of Disputes</t>
        </r>
      </text>
    </comment>
    <comment ref="BC9" authorId="0" shapeId="0" xr:uid="{8B472282-BB11-4E97-A581-5DFB386C7912}">
      <text>
        <r>
          <rPr>
            <b/>
            <sz val="9"/>
            <color indexed="81"/>
            <rFont val="Tahoma"/>
            <family val="2"/>
          </rPr>
          <t>Alec Dawson Shepherd:</t>
        </r>
        <r>
          <rPr>
            <sz val="9"/>
            <color indexed="81"/>
            <rFont val="Tahoma"/>
            <family val="2"/>
          </rPr>
          <t xml:space="preserve">
Contracting Parties</t>
        </r>
      </text>
    </comment>
    <comment ref="BD9" authorId="0" shapeId="0" xr:uid="{609AC759-39B6-4C4C-9855-8EA43987E386}">
      <text>
        <r>
          <rPr>
            <b/>
            <sz val="9"/>
            <color indexed="81"/>
            <rFont val="Tahoma"/>
            <family val="2"/>
          </rPr>
          <t>Alec Dawson Shepherd:</t>
        </r>
        <r>
          <rPr>
            <sz val="9"/>
            <color indexed="81"/>
            <rFont val="Tahoma"/>
            <family val="2"/>
          </rPr>
          <t xml:space="preserve">
Competent Authority (National)</t>
        </r>
      </text>
    </comment>
    <comment ref="BE9" authorId="0" shapeId="0" xr:uid="{1ACF5B52-C028-445F-AAE1-868FC887DE44}">
      <text>
        <r>
          <rPr>
            <b/>
            <sz val="9"/>
            <color indexed="81"/>
            <rFont val="Tahoma"/>
            <family val="2"/>
          </rPr>
          <t>Alec Dawson Shepherd:</t>
        </r>
        <r>
          <rPr>
            <sz val="9"/>
            <color indexed="81"/>
            <rFont val="Tahoma"/>
            <family val="2"/>
          </rPr>
          <t xml:space="preserve">
Private Sector</t>
        </r>
      </text>
    </comment>
    <comment ref="BF9" authorId="0" shapeId="0" xr:uid="{DD0793E8-5794-41B5-BBED-04C1C546689C}">
      <text>
        <r>
          <rPr>
            <b/>
            <sz val="9"/>
            <color indexed="81"/>
            <rFont val="Tahoma"/>
            <family val="2"/>
          </rPr>
          <t xml:space="preserve">Alec Dawson Shepherd:
</t>
        </r>
        <r>
          <rPr>
            <sz val="9"/>
            <color indexed="81"/>
            <rFont val="Tahoma"/>
            <family val="2"/>
          </rPr>
          <t>Civil Society</t>
        </r>
      </text>
    </comment>
    <comment ref="BG9" authorId="0" shapeId="0" xr:uid="{3D2AC57B-8D75-4023-B51C-34847BE85B0C}">
      <text>
        <r>
          <rPr>
            <b/>
            <sz val="9"/>
            <color indexed="81"/>
            <rFont val="Tahoma"/>
            <family val="2"/>
          </rPr>
          <t>Alec Dawson Shepherd:</t>
        </r>
        <r>
          <rPr>
            <sz val="9"/>
            <color indexed="81"/>
            <rFont val="Tahoma"/>
            <family val="2"/>
          </rPr>
          <t xml:space="preserve">
Consultant/Contractor</t>
        </r>
      </text>
    </comment>
    <comment ref="AA37" authorId="0" shapeId="0" xr:uid="{174330E7-7C76-41A3-8D40-7B95DBF59D4B}">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37" authorId="0" shapeId="0" xr:uid="{004F9678-13A7-460C-B7EC-C3CF519CBA3F}">
      <text>
        <r>
          <rPr>
            <b/>
            <sz val="9"/>
            <color indexed="81"/>
            <rFont val="Tahoma"/>
            <family val="2"/>
          </rPr>
          <t>Alec Dawson Shepherd:</t>
        </r>
        <r>
          <rPr>
            <sz val="9"/>
            <color indexed="81"/>
            <rFont val="Tahoma"/>
            <family val="2"/>
          </rPr>
          <t xml:space="preserve">
The estimated percentage extent to which the action has been completed.</t>
        </r>
      </text>
    </comment>
    <comment ref="AZ40" authorId="0" shapeId="0" xr:uid="{BB104599-811B-4D96-8288-85CDC7792CF5}">
      <text>
        <r>
          <rPr>
            <b/>
            <sz val="9"/>
            <color indexed="81"/>
            <rFont val="Tahoma"/>
            <family val="2"/>
          </rPr>
          <t>Alec Dawson Shepherd:</t>
        </r>
        <r>
          <rPr>
            <sz val="9"/>
            <color indexed="81"/>
            <rFont val="Tahoma"/>
            <family val="2"/>
          </rPr>
          <t xml:space="preserve">
Council</t>
        </r>
      </text>
    </comment>
    <comment ref="BA40" authorId="0" shapeId="0" xr:uid="{E003BB6B-D5D0-4CFB-B499-08A5A2A27842}">
      <text>
        <r>
          <rPr>
            <b/>
            <sz val="9"/>
            <color indexed="81"/>
            <rFont val="Tahoma"/>
            <family val="2"/>
          </rPr>
          <t>Alec Dawson Shepherd:</t>
        </r>
        <r>
          <rPr>
            <sz val="9"/>
            <color indexed="81"/>
            <rFont val="Tahoma"/>
            <family val="2"/>
          </rPr>
          <t xml:space="preserve">
General Secretariat</t>
        </r>
      </text>
    </comment>
    <comment ref="BB40" authorId="0" shapeId="0" xr:uid="{D329AA9A-D824-44D3-8F36-9AEE0BC46E4E}">
      <text>
        <r>
          <rPr>
            <b/>
            <sz val="9"/>
            <color indexed="81"/>
            <rFont val="Tahoma"/>
            <family val="2"/>
          </rPr>
          <t>Alec Dawson Shepherd:</t>
        </r>
        <r>
          <rPr>
            <sz val="9"/>
            <color indexed="81"/>
            <rFont val="Tahoma"/>
            <family val="2"/>
          </rPr>
          <t xml:space="preserve">
Committee for the Settlement of Disputes</t>
        </r>
      </text>
    </comment>
    <comment ref="BC40" authorId="0" shapeId="0" xr:uid="{04514987-590C-4073-BEE8-C8025507D6C2}">
      <text>
        <r>
          <rPr>
            <b/>
            <sz val="9"/>
            <color indexed="81"/>
            <rFont val="Tahoma"/>
            <family val="2"/>
          </rPr>
          <t>Alec Dawson Shepherd:</t>
        </r>
        <r>
          <rPr>
            <sz val="9"/>
            <color indexed="81"/>
            <rFont val="Tahoma"/>
            <family val="2"/>
          </rPr>
          <t xml:space="preserve">
Contracting Parties</t>
        </r>
      </text>
    </comment>
    <comment ref="BD40" authorId="0" shapeId="0" xr:uid="{14A17798-5A05-4953-B93E-02E08C02599E}">
      <text>
        <r>
          <rPr>
            <b/>
            <sz val="9"/>
            <color indexed="81"/>
            <rFont val="Tahoma"/>
            <family val="2"/>
          </rPr>
          <t>Alec Dawson Shepherd:</t>
        </r>
        <r>
          <rPr>
            <sz val="9"/>
            <color indexed="81"/>
            <rFont val="Tahoma"/>
            <family val="2"/>
          </rPr>
          <t xml:space="preserve">
Competent Authority (National)</t>
        </r>
      </text>
    </comment>
    <comment ref="BE40" authorId="0" shapeId="0" xr:uid="{15CF78A0-4E96-40B6-8710-ED466CF7F996}">
      <text>
        <r>
          <rPr>
            <b/>
            <sz val="9"/>
            <color indexed="81"/>
            <rFont val="Tahoma"/>
            <family val="2"/>
          </rPr>
          <t>Alec Dawson Shepherd:</t>
        </r>
        <r>
          <rPr>
            <sz val="9"/>
            <color indexed="81"/>
            <rFont val="Tahoma"/>
            <family val="2"/>
          </rPr>
          <t xml:space="preserve">
Private Sector</t>
        </r>
      </text>
    </comment>
    <comment ref="BF40" authorId="0" shapeId="0" xr:uid="{558F9E42-860E-4216-BE7D-AD4FF92D4F7E}">
      <text>
        <r>
          <rPr>
            <b/>
            <sz val="9"/>
            <color indexed="81"/>
            <rFont val="Tahoma"/>
            <family val="2"/>
          </rPr>
          <t xml:space="preserve">Alec Dawson Shepherd:
</t>
        </r>
        <r>
          <rPr>
            <sz val="9"/>
            <color indexed="81"/>
            <rFont val="Tahoma"/>
            <family val="2"/>
          </rPr>
          <t>Civil Society</t>
        </r>
      </text>
    </comment>
    <comment ref="BG40" authorId="0" shapeId="0" xr:uid="{35C3DFCF-59F1-4A90-8A87-203600E8FD61}">
      <text>
        <r>
          <rPr>
            <b/>
            <sz val="9"/>
            <color indexed="81"/>
            <rFont val="Tahoma"/>
            <family val="2"/>
          </rPr>
          <t>Alec Dawson Shepherd:</t>
        </r>
        <r>
          <rPr>
            <sz val="9"/>
            <color indexed="81"/>
            <rFont val="Tahoma"/>
            <family val="2"/>
          </rPr>
          <t xml:space="preserve">
Consultant/Contractor</t>
        </r>
      </text>
    </comment>
    <comment ref="AA67" authorId="0" shapeId="0" xr:uid="{A891DA12-6E86-4183-8735-FEE9B8CD07F3}">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67" authorId="0" shapeId="0" xr:uid="{BA20087F-015E-47E4-9B17-C8797A799C6A}">
      <text>
        <r>
          <rPr>
            <b/>
            <sz val="9"/>
            <color indexed="81"/>
            <rFont val="Tahoma"/>
            <family val="2"/>
          </rPr>
          <t>Alec Dawson Shepherd:</t>
        </r>
        <r>
          <rPr>
            <sz val="9"/>
            <color indexed="81"/>
            <rFont val="Tahoma"/>
            <family val="2"/>
          </rPr>
          <t xml:space="preserve">
The estimated percentage extent to which the action has been completed.</t>
        </r>
      </text>
    </comment>
    <comment ref="AZ70" authorId="0" shapeId="0" xr:uid="{D5B69929-9DF9-4B3F-AD22-A032B86713C3}">
      <text>
        <r>
          <rPr>
            <b/>
            <sz val="9"/>
            <color indexed="81"/>
            <rFont val="Tahoma"/>
            <family val="2"/>
          </rPr>
          <t>Alec Dawson Shepherd:</t>
        </r>
        <r>
          <rPr>
            <sz val="9"/>
            <color indexed="81"/>
            <rFont val="Tahoma"/>
            <family val="2"/>
          </rPr>
          <t xml:space="preserve">
Council</t>
        </r>
      </text>
    </comment>
    <comment ref="BA70" authorId="0" shapeId="0" xr:uid="{A03BF53F-9B4D-4D64-BCF6-1E5A8CCEF292}">
      <text>
        <r>
          <rPr>
            <b/>
            <sz val="9"/>
            <color indexed="81"/>
            <rFont val="Tahoma"/>
            <family val="2"/>
          </rPr>
          <t>Alec Dawson Shepherd:</t>
        </r>
        <r>
          <rPr>
            <sz val="9"/>
            <color indexed="81"/>
            <rFont val="Tahoma"/>
            <family val="2"/>
          </rPr>
          <t xml:space="preserve">
General Secretariat</t>
        </r>
      </text>
    </comment>
    <comment ref="BB70" authorId="0" shapeId="0" xr:uid="{02CFD1EE-007B-4CA9-A126-13D11BDFA326}">
      <text>
        <r>
          <rPr>
            <b/>
            <sz val="9"/>
            <color indexed="81"/>
            <rFont val="Tahoma"/>
            <family val="2"/>
          </rPr>
          <t>Alec Dawson Shepherd:</t>
        </r>
        <r>
          <rPr>
            <sz val="9"/>
            <color indexed="81"/>
            <rFont val="Tahoma"/>
            <family val="2"/>
          </rPr>
          <t xml:space="preserve">
Committee for the Settlement of Disputes</t>
        </r>
      </text>
    </comment>
    <comment ref="BC70" authorId="0" shapeId="0" xr:uid="{6B952E78-436B-43A5-8F36-3284D71CF888}">
      <text>
        <r>
          <rPr>
            <b/>
            <sz val="9"/>
            <color indexed="81"/>
            <rFont val="Tahoma"/>
            <family val="2"/>
          </rPr>
          <t>Alec Dawson Shepherd:</t>
        </r>
        <r>
          <rPr>
            <sz val="9"/>
            <color indexed="81"/>
            <rFont val="Tahoma"/>
            <family val="2"/>
          </rPr>
          <t xml:space="preserve">
Contracting Parties</t>
        </r>
      </text>
    </comment>
    <comment ref="BD70" authorId="0" shapeId="0" xr:uid="{4323D1AE-061A-481D-A6C5-F20A85B96706}">
      <text>
        <r>
          <rPr>
            <b/>
            <sz val="9"/>
            <color indexed="81"/>
            <rFont val="Tahoma"/>
            <family val="2"/>
          </rPr>
          <t>Alec Dawson Shepherd:</t>
        </r>
        <r>
          <rPr>
            <sz val="9"/>
            <color indexed="81"/>
            <rFont val="Tahoma"/>
            <family val="2"/>
          </rPr>
          <t xml:space="preserve">
Competent Authority (National)</t>
        </r>
      </text>
    </comment>
    <comment ref="BE70" authorId="0" shapeId="0" xr:uid="{86C663CF-0191-4D15-B7BC-DB883CEB1325}">
      <text>
        <r>
          <rPr>
            <b/>
            <sz val="9"/>
            <color indexed="81"/>
            <rFont val="Tahoma"/>
            <family val="2"/>
          </rPr>
          <t>Alec Dawson Shepherd:</t>
        </r>
        <r>
          <rPr>
            <sz val="9"/>
            <color indexed="81"/>
            <rFont val="Tahoma"/>
            <family val="2"/>
          </rPr>
          <t xml:space="preserve">
Private Sector</t>
        </r>
      </text>
    </comment>
    <comment ref="BF70" authorId="0" shapeId="0" xr:uid="{7408B8C4-9A12-4B20-A99C-4C5117037DE6}">
      <text>
        <r>
          <rPr>
            <b/>
            <sz val="9"/>
            <color indexed="81"/>
            <rFont val="Tahoma"/>
            <family val="2"/>
          </rPr>
          <t xml:space="preserve">Alec Dawson Shepherd:
</t>
        </r>
        <r>
          <rPr>
            <sz val="9"/>
            <color indexed="81"/>
            <rFont val="Tahoma"/>
            <family val="2"/>
          </rPr>
          <t>Civil Society</t>
        </r>
      </text>
    </comment>
    <comment ref="BG70" authorId="0" shapeId="0" xr:uid="{3B78DBA9-FC2F-4187-8324-2F9DBC78A06A}">
      <text>
        <r>
          <rPr>
            <b/>
            <sz val="9"/>
            <color indexed="81"/>
            <rFont val="Tahoma"/>
            <family val="2"/>
          </rPr>
          <t>Alec Dawson Shepherd:</t>
        </r>
        <r>
          <rPr>
            <sz val="9"/>
            <color indexed="81"/>
            <rFont val="Tahoma"/>
            <family val="2"/>
          </rPr>
          <t xml:space="preserve">
Consultant/Contractor</t>
        </r>
      </text>
    </comment>
    <comment ref="AA92" authorId="0" shapeId="0" xr:uid="{D353766A-51CF-4563-84B5-3525D9E6B19D}">
      <text>
        <r>
          <rPr>
            <b/>
            <sz val="9"/>
            <color indexed="81"/>
            <rFont val="Tahoma"/>
            <family val="2"/>
          </rPr>
          <t>Alec Dawson Shepherd:</t>
        </r>
        <r>
          <rPr>
            <sz val="9"/>
            <color indexed="81"/>
            <rFont val="Tahoma"/>
            <family val="2"/>
          </rPr>
          <t xml:space="preserve">
Score the action from 0-10 depending on how important you think it is. The place of the action in the ranking will be determined by the score. All actions with the same score will be at the same level in the ranking.</t>
        </r>
      </text>
    </comment>
    <comment ref="AF92" authorId="0" shapeId="0" xr:uid="{955FCDEB-C853-4C41-B37E-8A7B217E4BA4}">
      <text>
        <r>
          <rPr>
            <b/>
            <sz val="9"/>
            <color indexed="81"/>
            <rFont val="Tahoma"/>
            <family val="2"/>
          </rPr>
          <t>Alec Dawson Shepherd:</t>
        </r>
        <r>
          <rPr>
            <sz val="9"/>
            <color indexed="81"/>
            <rFont val="Tahoma"/>
            <family val="2"/>
          </rPr>
          <t xml:space="preserve">
The estimated percentage extent to which the action has been completed.</t>
        </r>
      </text>
    </comment>
    <comment ref="AZ95" authorId="0" shapeId="0" xr:uid="{4A6F08E8-1E10-4C79-8EE5-0C48077BD715}">
      <text>
        <r>
          <rPr>
            <b/>
            <sz val="9"/>
            <color indexed="81"/>
            <rFont val="Tahoma"/>
            <family val="2"/>
          </rPr>
          <t>Alec Dawson Shepherd:</t>
        </r>
        <r>
          <rPr>
            <sz val="9"/>
            <color indexed="81"/>
            <rFont val="Tahoma"/>
            <family val="2"/>
          </rPr>
          <t xml:space="preserve">
Council</t>
        </r>
      </text>
    </comment>
    <comment ref="BA95" authorId="0" shapeId="0" xr:uid="{CF063135-2165-4AF8-9CF6-D787702D6B33}">
      <text>
        <r>
          <rPr>
            <b/>
            <sz val="9"/>
            <color indexed="81"/>
            <rFont val="Tahoma"/>
            <family val="2"/>
          </rPr>
          <t>Alec Dawson Shepherd:</t>
        </r>
        <r>
          <rPr>
            <sz val="9"/>
            <color indexed="81"/>
            <rFont val="Tahoma"/>
            <family val="2"/>
          </rPr>
          <t xml:space="preserve">
General Secretariat</t>
        </r>
      </text>
    </comment>
    <comment ref="BB95" authorId="0" shapeId="0" xr:uid="{E0E3AA45-59A5-44C6-96A0-7D2B293998F7}">
      <text>
        <r>
          <rPr>
            <b/>
            <sz val="9"/>
            <color indexed="81"/>
            <rFont val="Tahoma"/>
            <family val="2"/>
          </rPr>
          <t>Alec Dawson Shepherd:</t>
        </r>
        <r>
          <rPr>
            <sz val="9"/>
            <color indexed="81"/>
            <rFont val="Tahoma"/>
            <family val="2"/>
          </rPr>
          <t xml:space="preserve">
Committee for the Settlement of Disputes</t>
        </r>
      </text>
    </comment>
    <comment ref="BC95" authorId="0" shapeId="0" xr:uid="{17492F89-77AA-4D7A-8D6D-8E10DE5A2895}">
      <text>
        <r>
          <rPr>
            <b/>
            <sz val="9"/>
            <color indexed="81"/>
            <rFont val="Tahoma"/>
            <family val="2"/>
          </rPr>
          <t>Alec Dawson Shepherd:</t>
        </r>
        <r>
          <rPr>
            <sz val="9"/>
            <color indexed="81"/>
            <rFont val="Tahoma"/>
            <family val="2"/>
          </rPr>
          <t xml:space="preserve">
Contracting Parties</t>
        </r>
      </text>
    </comment>
    <comment ref="BD95" authorId="0" shapeId="0" xr:uid="{3C0E703E-A7AB-4080-9284-55823494B8B4}">
      <text>
        <r>
          <rPr>
            <b/>
            <sz val="9"/>
            <color indexed="81"/>
            <rFont val="Tahoma"/>
            <family val="2"/>
          </rPr>
          <t>Alec Dawson Shepherd:</t>
        </r>
        <r>
          <rPr>
            <sz val="9"/>
            <color indexed="81"/>
            <rFont val="Tahoma"/>
            <family val="2"/>
          </rPr>
          <t xml:space="preserve">
Competent Authority (National)</t>
        </r>
      </text>
    </comment>
    <comment ref="BE95" authorId="0" shapeId="0" xr:uid="{67895261-F4E3-4B3F-A9FA-394AA50F7280}">
      <text>
        <r>
          <rPr>
            <b/>
            <sz val="9"/>
            <color indexed="81"/>
            <rFont val="Tahoma"/>
            <family val="2"/>
          </rPr>
          <t>Alec Dawson Shepherd:</t>
        </r>
        <r>
          <rPr>
            <sz val="9"/>
            <color indexed="81"/>
            <rFont val="Tahoma"/>
            <family val="2"/>
          </rPr>
          <t xml:space="preserve">
Private Sector</t>
        </r>
      </text>
    </comment>
    <comment ref="BF95" authorId="0" shapeId="0" xr:uid="{2FA59B90-1209-4D6E-9808-A849397467A8}">
      <text>
        <r>
          <rPr>
            <b/>
            <sz val="9"/>
            <color indexed="81"/>
            <rFont val="Tahoma"/>
            <family val="2"/>
          </rPr>
          <t xml:space="preserve">Alec Dawson Shepherd:
</t>
        </r>
        <r>
          <rPr>
            <sz val="9"/>
            <color indexed="81"/>
            <rFont val="Tahoma"/>
            <family val="2"/>
          </rPr>
          <t>Civil Society</t>
        </r>
      </text>
    </comment>
    <comment ref="BG95" authorId="0" shapeId="0" xr:uid="{AEF34799-F0C1-43F2-847F-659CBE999581}">
      <text>
        <r>
          <rPr>
            <b/>
            <sz val="9"/>
            <color indexed="81"/>
            <rFont val="Tahoma"/>
            <family val="2"/>
          </rPr>
          <t>Alec Dawson Shepherd:</t>
        </r>
        <r>
          <rPr>
            <sz val="9"/>
            <color indexed="81"/>
            <rFont val="Tahoma"/>
            <family val="2"/>
          </rPr>
          <t xml:space="preserve">
Consultant/Contractor</t>
        </r>
      </text>
    </comment>
    <comment ref="BI110" authorId="0" shapeId="0" xr:uid="{1B4F0C15-FC60-41DF-9E03-D2D34D1AD690}">
      <text>
        <r>
          <rPr>
            <b/>
            <sz val="9"/>
            <color indexed="81"/>
            <rFont val="Tahoma"/>
            <family val="2"/>
          </rPr>
          <t>Alec Dawson Shepherd:</t>
        </r>
        <r>
          <rPr>
            <sz val="9"/>
            <color indexed="81"/>
            <rFont val="Tahoma"/>
            <family val="2"/>
          </rPr>
          <t xml:space="preserve">
Holding figure</t>
        </r>
      </text>
    </comment>
  </commentList>
</comments>
</file>

<file path=xl/sharedStrings.xml><?xml version="1.0" encoding="utf-8"?>
<sst xmlns="http://schemas.openxmlformats.org/spreadsheetml/2006/main" count="704" uniqueCount="218">
  <si>
    <t>Legal</t>
  </si>
  <si>
    <t>Shore Facility</t>
  </si>
  <si>
    <t>SPAG</t>
  </si>
  <si>
    <t>Stakeholder</t>
  </si>
  <si>
    <t>Vessel</t>
  </si>
  <si>
    <t>Asset</t>
  </si>
  <si>
    <t>Median</t>
  </si>
  <si>
    <t>IUU Fishing Theme</t>
  </si>
  <si>
    <t>Yes</t>
  </si>
  <si>
    <t>No</t>
  </si>
  <si>
    <t>Res</t>
  </si>
  <si>
    <t>Abs</t>
  </si>
  <si>
    <t>UN IMO MARPOL 73/78 Annexes</t>
  </si>
  <si>
    <t>UN WTO Fishing Subsidies</t>
  </si>
  <si>
    <t>Issues that have not been scored were given a zero (0) SSC score. If the issue question has not been asked then the status and significance cannot be scored and there is "0" confidence. Each zero (0) SSC score is a baseline and a zero (0) SSC score has no effect on the overall SSC score.</t>
  </si>
  <si>
    <t>Each of the 5 themes has many possible assets (Laws, Vessels etc) and each asset has 28 issues listed (see Annex 4).</t>
  </si>
  <si>
    <t>SPAG - National Survey</t>
  </si>
  <si>
    <t>SPAG - Competent National Authority</t>
  </si>
  <si>
    <t>SPAG - Designation of SPAG Areas</t>
  </si>
  <si>
    <t>All</t>
  </si>
  <si>
    <t>Max</t>
  </si>
  <si>
    <t>Min</t>
  </si>
  <si>
    <t>SSC Median</t>
  </si>
  <si>
    <t>The SSC score comprises Status x (Significance + Confidence). The Status is "+" (positive) if it is improving, "0" if it is unchanged, and "-" (negative) if it is deteriorated against the baseline as defined. The significance is scored from 0 (no significance) through 1 (minimal significance) to 5 (maximum significance) and the confidence from 1 (minimal confidence) to 5 (maximum confidence). The maximum possible SSC score is +/- 1 x (5+5) x 28 = +/- 280.</t>
  </si>
  <si>
    <t>Total (all 7 Countries)</t>
  </si>
  <si>
    <t>Numbers</t>
  </si>
  <si>
    <t xml:space="preserve">The median SSC score is the mid ranked score in an even numbered list of scores and the average of the two mid ranked scores in an odd numbered list of scores. Excel equation "=Median(Score1,Score2,Score3) etc". </t>
  </si>
  <si>
    <t>Research</t>
  </si>
  <si>
    <t>UN FAO Compliance Agreement</t>
  </si>
  <si>
    <t>UN FCCC Loss and Damage</t>
  </si>
  <si>
    <t>Infrastructure</t>
  </si>
  <si>
    <t>Certification (IUU Fishing)</t>
  </si>
  <si>
    <t>Good Practice Examples IUU Fishing</t>
  </si>
  <si>
    <t>Issues IUU Fishing</t>
  </si>
  <si>
    <t>Political and Economic Analysis of IUU</t>
  </si>
  <si>
    <t>Pollution Control</t>
  </si>
  <si>
    <t>Stakeholder Governance/Grievance</t>
  </si>
  <si>
    <t>PERSGA PAs Protocol Annexes</t>
  </si>
  <si>
    <t>UN CBD Aichi</t>
  </si>
  <si>
    <t>UN CBD Kumming Montreal GBF</t>
  </si>
  <si>
    <t>UNCLOS BBNJ, FSA</t>
  </si>
  <si>
    <t>Governance - Legal</t>
  </si>
  <si>
    <t>Internal Waters</t>
  </si>
  <si>
    <t>Reporting</t>
  </si>
  <si>
    <t>Year</t>
  </si>
  <si>
    <t>GS</t>
  </si>
  <si>
    <t>CN</t>
  </si>
  <si>
    <t>CD</t>
  </si>
  <si>
    <t>CO</t>
  </si>
  <si>
    <t>CP</t>
  </si>
  <si>
    <t>CA</t>
  </si>
  <si>
    <t>PS</t>
  </si>
  <si>
    <t>PROPOSED ACTIONS</t>
  </si>
  <si>
    <t>Total</t>
  </si>
  <si>
    <t>Sub-sect</t>
  </si>
  <si>
    <t>"Organization"</t>
  </si>
  <si>
    <t>National x 7</t>
  </si>
  <si>
    <t>%</t>
  </si>
  <si>
    <t>Legis-lation</t>
  </si>
  <si>
    <t>Guid-ance</t>
  </si>
  <si>
    <t>M&amp;E</t>
  </si>
  <si>
    <t>ACTIONS BUDGET</t>
  </si>
  <si>
    <t>Key</t>
  </si>
  <si>
    <t>Major input</t>
  </si>
  <si>
    <t>CS</t>
  </si>
  <si>
    <r>
      <rPr>
        <b/>
        <sz val="14"/>
        <color theme="1"/>
        <rFont val="Times New Roman"/>
        <family val="1"/>
      </rPr>
      <t>Direction</t>
    </r>
    <r>
      <rPr>
        <sz val="12"/>
        <color theme="1"/>
        <rFont val="Times New Roman"/>
        <family val="1"/>
      </rPr>
      <t xml:space="preserve"> : Please cross your "Direction" reflecting the assessment of the listed Action. "Yes" agree. "No" not necessary/do not agree. "Res" Agree with reservations. "Abs" Abstain (cannot provide direction). If you have reservations/comments please append them against the Action number.</t>
    </r>
  </si>
  <si>
    <t>Goods</t>
  </si>
  <si>
    <t>$US (5 years)</t>
  </si>
  <si>
    <t>cSM (cross-cutting)</t>
  </si>
  <si>
    <t>IV.02</t>
  </si>
  <si>
    <t>IV.02.01</t>
  </si>
  <si>
    <t>IV.02.02</t>
  </si>
  <si>
    <t>IV.02.03</t>
  </si>
  <si>
    <t>IV.02.04</t>
  </si>
  <si>
    <t>IV.02.05</t>
  </si>
  <si>
    <t>IV.02.06</t>
  </si>
  <si>
    <t>IV.02.07</t>
  </si>
  <si>
    <t>IV.02.08</t>
  </si>
  <si>
    <t>IV.02.09</t>
  </si>
  <si>
    <t>IV.02.10</t>
  </si>
  <si>
    <t>IV.02.11</t>
  </si>
  <si>
    <t>IV.02.12</t>
  </si>
  <si>
    <t>IV.02.13</t>
  </si>
  <si>
    <t>IV.02.14</t>
  </si>
  <si>
    <t>IV.02.15</t>
  </si>
  <si>
    <t>IV.02.16</t>
  </si>
  <si>
    <t>IV.02.17</t>
  </si>
  <si>
    <t>IV.02.18</t>
  </si>
  <si>
    <t>IV.02.19</t>
  </si>
  <si>
    <t>IV.03</t>
  </si>
  <si>
    <t>National Legislation (Legal)</t>
  </si>
  <si>
    <t>IV.03.01</t>
  </si>
  <si>
    <t>IV.03.02</t>
  </si>
  <si>
    <t>IV.03.03</t>
  </si>
  <si>
    <t>IV.03.04</t>
  </si>
  <si>
    <t>IV.03.05</t>
  </si>
  <si>
    <t>IV.03.06</t>
  </si>
  <si>
    <t>IV.03.07</t>
  </si>
  <si>
    <t>IV.03.08</t>
  </si>
  <si>
    <t>IV.03.09</t>
  </si>
  <si>
    <t>IV.03.10</t>
  </si>
  <si>
    <t>IV.03.11</t>
  </si>
  <si>
    <t>IV.03.12</t>
  </si>
  <si>
    <t>Sub-total:</t>
  </si>
  <si>
    <t>IV.04</t>
  </si>
  <si>
    <t>IV.04.01</t>
  </si>
  <si>
    <t>IV.04.02</t>
  </si>
  <si>
    <t>IV.04.03</t>
  </si>
  <si>
    <t>IV.05</t>
  </si>
  <si>
    <t>IV.05.01</t>
  </si>
  <si>
    <t>IV.05.02</t>
  </si>
  <si>
    <t>IV.05.03</t>
  </si>
  <si>
    <t>IV.05.04</t>
  </si>
  <si>
    <t>IV.05.05</t>
  </si>
  <si>
    <t>IV.06</t>
  </si>
  <si>
    <t>IV.06.01</t>
  </si>
  <si>
    <t>IV.06.02</t>
  </si>
  <si>
    <t>IV.06.03</t>
  </si>
  <si>
    <t>IV.06.04</t>
  </si>
  <si>
    <t>IV.06.05</t>
  </si>
  <si>
    <t>Sub-total</t>
  </si>
  <si>
    <t>IV.07</t>
  </si>
  <si>
    <t>IV.07.01</t>
  </si>
  <si>
    <t>IV.07.02</t>
  </si>
  <si>
    <t>IV.07.03</t>
  </si>
  <si>
    <t>IV.07.04</t>
  </si>
  <si>
    <t>IV.08</t>
  </si>
  <si>
    <t>IV.08.01</t>
  </si>
  <si>
    <t>IV.08.02</t>
  </si>
  <si>
    <t>IV.08.03</t>
  </si>
  <si>
    <t>IV.08.04</t>
  </si>
  <si>
    <t>Minor input</t>
  </si>
  <si>
    <r>
      <rPr>
        <b/>
        <sz val="14"/>
        <color theme="1"/>
        <rFont val="Times New Roman"/>
        <family val="1"/>
      </rPr>
      <t>Disclaimer</t>
    </r>
    <r>
      <rPr>
        <sz val="12"/>
        <color theme="1"/>
        <rFont val="Times New Roman"/>
        <family val="1"/>
      </rPr>
      <t xml:space="preserve"> : The direction category checked above reflects the opinion of the respective Country Competent Authority. It does not reflect the opinion of any other Party. The direction informs the preparation of the PERSGA Region Plan of Action (RPOA-IUU) for IUU fishing, and the respective Country National Plans of Action (NPOA-IUU) for IUU fishing.</t>
    </r>
  </si>
  <si>
    <r>
      <rPr>
        <b/>
        <sz val="14"/>
        <color theme="1"/>
        <rFont val="Times New Roman"/>
        <family val="1"/>
      </rPr>
      <t>Governance - Legal (IV.04.03)</t>
    </r>
    <r>
      <rPr>
        <b/>
        <sz val="12"/>
        <color theme="1"/>
        <rFont val="Times New Roman"/>
        <family val="1"/>
      </rPr>
      <t xml:space="preserve"> </t>
    </r>
    <r>
      <rPr>
        <sz val="12"/>
        <color theme="1"/>
        <rFont val="Times New Roman"/>
        <family val="1"/>
      </rPr>
      <t>: The validity of a Country Fisheries Law or regulation in terms of its issuing authority and application. For example, the Somali Fisheries Law (008/2023) and Constitutional authority and Sudanese Red Sea State Marine Fisheries Law 2016 under Marine Fisheries Ordinance of 1937.</t>
    </r>
  </si>
  <si>
    <r>
      <t xml:space="preserve">RANK </t>
    </r>
    <r>
      <rPr>
        <b/>
        <sz val="10"/>
        <color theme="1"/>
        <rFont val="Times New Roman"/>
        <family val="1"/>
      </rPr>
      <t>SCORE (0-10)</t>
    </r>
  </si>
  <si>
    <t>Training</t>
  </si>
  <si>
    <t>Cross-costed</t>
  </si>
  <si>
    <t>Total:</t>
  </si>
  <si>
    <t>Travel &amp; expenses</t>
  </si>
  <si>
    <t>RPOA/NPOA-SCP (Special Cons Plans)</t>
  </si>
  <si>
    <t>Total %</t>
  </si>
  <si>
    <t>PROPOSED ACTIONS (IV.01 is an Intruduction, not an Action).</t>
  </si>
  <si>
    <t>port State Measures (pSM)</t>
  </si>
  <si>
    <t>fSR (Vessel fishing license)</t>
  </si>
  <si>
    <t>cSM (SPAG)</t>
  </si>
  <si>
    <t>Total including contingency &amp; overhead</t>
  </si>
  <si>
    <t>Locked cells</t>
  </si>
  <si>
    <t>PROPOSED ACTIONS (IV.01  is an Introduction, not an Action)</t>
  </si>
  <si>
    <t>Date:</t>
  </si>
  <si>
    <t>Country:</t>
  </si>
  <si>
    <t>Number of male Participants*:</t>
  </si>
  <si>
    <t>Number of female Participants*:</t>
  </si>
  <si>
    <t>*Please register/list participants.</t>
  </si>
  <si>
    <t>SPAG - IUU Fishing "Issues" Manag Plan</t>
  </si>
  <si>
    <t>cSM (Stakeholder fish licence)</t>
  </si>
  <si>
    <t>% done</t>
  </si>
  <si>
    <t>Internatn Instruments (Legal)</t>
  </si>
  <si>
    <t>Ma</t>
  </si>
  <si>
    <t>Mi</t>
  </si>
  <si>
    <t>CC</t>
  </si>
  <si>
    <t>CN = Council (Organization). GS = General Secretariat (Organization). CD = Committee for the Settlement of Disputes (Organization). CP = Contracting Parties (Organization). CA = Competent (National) Authority for IUU. PS = Private Sector. CC = Civil Society. CO = Consultant. M&amp;E = Monitoring and Evaluation. fSR = flag State Responsibilities.</t>
  </si>
  <si>
    <t>01</t>
  </si>
  <si>
    <t>02</t>
  </si>
  <si>
    <t>04 RESPONSIBILITY/BENEFICIARY</t>
  </si>
  <si>
    <t>05 ACTIONS BUDGET</t>
  </si>
  <si>
    <t>03</t>
  </si>
  <si>
    <t>04</t>
  </si>
  <si>
    <t>05</t>
  </si>
  <si>
    <t>06</t>
  </si>
  <si>
    <t>07</t>
  </si>
  <si>
    <t>08</t>
  </si>
  <si>
    <t>02    Legis-lation</t>
  </si>
  <si>
    <t>04  Training</t>
  </si>
  <si>
    <t>06      M&amp;E</t>
  </si>
  <si>
    <t>07     Total</t>
  </si>
  <si>
    <t>08   %</t>
  </si>
  <si>
    <t>06       DIRECTION</t>
  </si>
  <si>
    <t>03                       SCHEDULE</t>
  </si>
  <si>
    <t>IV.02.20</t>
  </si>
  <si>
    <t>ByCatch and Discards Management</t>
  </si>
  <si>
    <t>&gt;3% budget</t>
  </si>
  <si>
    <t>IV.02.21</t>
  </si>
  <si>
    <t>Fisheries Statistics &amp; Stock Assessment</t>
  </si>
  <si>
    <t>PERSGA RPOA-IUU Adoption</t>
  </si>
  <si>
    <t>Service Delivery Targets</t>
  </si>
  <si>
    <t>Capacity Building (National)</t>
  </si>
  <si>
    <t>Capacity Building (Regional)</t>
  </si>
  <si>
    <t>Delivery of Actions (National)</t>
  </si>
  <si>
    <t>Delivery of Actions (Regional)</t>
  </si>
  <si>
    <t>Funding for IUU Fishing Management</t>
  </si>
  <si>
    <t>PERSGA NPOA-IUU Adoption</t>
  </si>
  <si>
    <t>PERSGA Fish and Aqua Draft Protocol</t>
  </si>
  <si>
    <t>PERSGA PAtI Draft Protocol</t>
  </si>
  <si>
    <t>UN FAO pSM Agreement</t>
  </si>
  <si>
    <t>Competent Authorities IUU Fishing</t>
  </si>
  <si>
    <t>IUU Fishing Management - Mandate</t>
  </si>
  <si>
    <t>IUU Fishing Management - License</t>
  </si>
  <si>
    <t>IUU Fishing Management - Regulations</t>
  </si>
  <si>
    <t>IUU Fishing Management - Plan</t>
  </si>
  <si>
    <t>SPAG - Define as a National Asset Type</t>
  </si>
  <si>
    <r>
      <t xml:space="preserve">Fishing License for </t>
    </r>
    <r>
      <rPr>
        <b/>
        <u/>
        <sz val="12"/>
        <color theme="1"/>
        <rFont val="Times New Roman"/>
        <family val="1"/>
      </rPr>
      <t>All</t>
    </r>
    <r>
      <rPr>
        <sz val="12"/>
        <color theme="1"/>
        <rFont val="Times New Roman"/>
        <family val="1"/>
      </rPr>
      <t xml:space="preserve"> Fishers</t>
    </r>
  </si>
  <si>
    <t>Fisher Fishing License (FFL) Framework</t>
  </si>
  <si>
    <t>FFL Exec Regs (Report &amp; Regulate)</t>
  </si>
  <si>
    <r>
      <t xml:space="preserve">Fishing License for </t>
    </r>
    <r>
      <rPr>
        <b/>
        <u/>
        <sz val="12"/>
        <color theme="1"/>
        <rFont val="Times New Roman"/>
        <family val="1"/>
      </rPr>
      <t>All</t>
    </r>
    <r>
      <rPr>
        <sz val="12"/>
        <color theme="1"/>
        <rFont val="Times New Roman"/>
        <family val="1"/>
      </rPr>
      <t xml:space="preserve"> Fishing Vessels</t>
    </r>
  </si>
  <si>
    <t>Vessel Fishing License (VFL) framework</t>
  </si>
  <si>
    <t>VFL Exec Regs  (Report &amp; Regulate)</t>
  </si>
  <si>
    <t>cSM (Stakeholder Fish Licence)</t>
  </si>
  <si>
    <t>fSR (Vessel Fishing License)</t>
  </si>
  <si>
    <t>Contingency @ 10%</t>
  </si>
  <si>
    <t>Overhead @ 30%</t>
  </si>
  <si>
    <t>PERSGA Ex-Situ Biodiv Draft Protocol</t>
  </si>
  <si>
    <t>FFL Competent (National) Authority</t>
  </si>
  <si>
    <t>VFL Competent (National) Authority</t>
  </si>
  <si>
    <t>Database IUU Fishing (Regional)</t>
  </si>
  <si>
    <t>Executive Regulations IUU Fishing</t>
  </si>
  <si>
    <t>03  Travel/ Expenses</t>
  </si>
  <si>
    <t>01   Guidance</t>
  </si>
  <si>
    <t>05  Goods/ Pilots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</si>
</sst>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9"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
      <b/>
      <u/>
      <sz val="12"/>
      <color theme="1"/>
      <name val="Times New Roman"/>
      <family val="1"/>
    </font>
    <font>
      <b/>
      <sz val="16"/>
      <color theme="1"/>
      <name val="Times New Roman"/>
      <family val="1"/>
    </font>
    <font>
      <sz val="9"/>
      <color indexed="81"/>
      <name val="Tahoma"/>
    </font>
    <font>
      <b/>
      <sz val="9"/>
      <color indexed="81"/>
      <name val="Tahoma"/>
    </font>
    <font>
      <sz val="14"/>
      <color theme="1"/>
      <name val="Times New Roman"/>
      <family val="1"/>
    </font>
    <font>
      <b/>
      <sz val="14"/>
      <color theme="1"/>
      <name val="Times New Roman"/>
      <family val="1"/>
    </font>
    <font>
      <sz val="11"/>
      <color theme="1"/>
      <name val="Times New Roman"/>
      <family val="1"/>
    </font>
    <font>
      <sz val="9"/>
      <color indexed="81"/>
      <name val="Tahoma"/>
      <family val="2"/>
    </font>
    <font>
      <b/>
      <sz val="9"/>
      <color indexed="81"/>
      <name val="Tahoma"/>
      <family val="2"/>
    </font>
    <font>
      <b/>
      <sz val="10"/>
      <color theme="1"/>
      <name val="Times New Roman"/>
      <family val="1"/>
    </font>
    <font>
      <sz val="9"/>
      <color indexed="81"/>
      <name val="Tahoma"/>
      <charset val="1"/>
    </font>
    <font>
      <b/>
      <sz val="9"/>
      <color indexed="81"/>
      <name val="Tahoma"/>
      <charset val="1"/>
    </font>
    <font>
      <b/>
      <sz val="12"/>
      <color rgb="FFFF0000"/>
      <name val="Times New Roman"/>
      <family val="1"/>
    </font>
    <font>
      <b/>
      <sz val="14"/>
      <color rgb="FFFF0000"/>
      <name val="Times New Roman"/>
      <family val="1"/>
    </font>
    <font>
      <b/>
      <sz val="12"/>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mediumGray">
        <fgColor rgb="FF00B0F0"/>
        <bgColor auto="1"/>
      </patternFill>
    </fill>
    <fill>
      <patternFill patternType="lightGray">
        <fgColor rgb="FF00B0F0"/>
        <bgColor auto="1"/>
      </patternFill>
    </fill>
    <fill>
      <patternFill patternType="lightGray">
        <fgColor rgb="FF00B0F0"/>
        <bgColor rgb="FF00B0F0"/>
      </patternFill>
    </fill>
    <fill>
      <patternFill patternType="solid">
        <fgColor rgb="FF92D050"/>
        <bgColor indexed="64"/>
      </patternFill>
    </fill>
    <fill>
      <patternFill patternType="mediumGray">
        <fgColor rgb="FF00B0F0"/>
        <bgColor rgb="FF00B0F0"/>
      </patternFill>
    </fill>
    <fill>
      <patternFill patternType="solid">
        <fgColor theme="0" tint="-0.14996795556505021"/>
        <bgColor theme="0" tint="-0.24994659260841701"/>
      </patternFill>
    </fill>
    <fill>
      <patternFill patternType="solid">
        <fgColor theme="0" tint="-0.249977111117893"/>
        <bgColor indexed="64"/>
      </patternFill>
    </fill>
    <fill>
      <patternFill patternType="lightGray">
        <fgColor rgb="FF00B0F0"/>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4">
    <xf numFmtId="0" fontId="0" fillId="0" borderId="0" xfId="0"/>
    <xf numFmtId="0" fontId="1" fillId="0" borderId="0" xfId="0" applyFont="1"/>
    <xf numFmtId="0" fontId="2" fillId="0" borderId="0" xfId="0" applyFont="1"/>
    <xf numFmtId="0" fontId="1" fillId="0" borderId="10" xfId="0" applyFont="1" applyBorder="1"/>
    <xf numFmtId="0" fontId="1" fillId="0" borderId="3" xfId="0" applyFont="1" applyBorder="1"/>
    <xf numFmtId="0" fontId="1" fillId="0" borderId="1" xfId="0" applyFont="1" applyBorder="1"/>
    <xf numFmtId="0" fontId="1" fillId="0" borderId="2" xfId="0" applyFont="1" applyBorder="1"/>
    <xf numFmtId="0" fontId="1" fillId="0" borderId="4" xfId="0" applyFont="1" applyBorder="1"/>
    <xf numFmtId="0" fontId="2" fillId="0" borderId="0" xfId="0" applyFont="1" applyAlignment="1">
      <alignment vertical="center"/>
    </xf>
    <xf numFmtId="0" fontId="1" fillId="0" borderId="0" xfId="0" applyFont="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8" fillId="2" borderId="8" xfId="0" applyFont="1" applyFill="1" applyBorder="1"/>
    <xf numFmtId="0" fontId="8" fillId="2" borderId="9" xfId="0" applyFont="1" applyFill="1" applyBorder="1"/>
    <xf numFmtId="0" fontId="8" fillId="0" borderId="0" xfId="0" applyFont="1"/>
    <xf numFmtId="0" fontId="8" fillId="0" borderId="0" xfId="0" applyFont="1" applyAlignment="1">
      <alignment vertical="center"/>
    </xf>
    <xf numFmtId="0" fontId="9" fillId="2" borderId="7" xfId="0" applyFont="1" applyFill="1" applyBorder="1" applyAlignment="1">
      <alignment vertical="center"/>
    </xf>
    <xf numFmtId="0" fontId="1" fillId="0" borderId="0" xfId="0" applyFont="1" applyAlignment="1">
      <alignment wrapText="1"/>
    </xf>
    <xf numFmtId="0" fontId="1" fillId="0" borderId="0" xfId="0" applyFont="1" applyAlignment="1">
      <alignment vertical="center" wrapText="1"/>
    </xf>
    <xf numFmtId="0" fontId="2" fillId="2" borderId="12" xfId="0" applyFont="1" applyFill="1" applyBorder="1" applyAlignment="1">
      <alignment horizontal="center" vertical="center"/>
    </xf>
    <xf numFmtId="0" fontId="1" fillId="3" borderId="12" xfId="0" applyFont="1" applyFill="1" applyBorder="1" applyAlignment="1">
      <alignment vertical="center"/>
    </xf>
    <xf numFmtId="164" fontId="2" fillId="0" borderId="0" xfId="0" applyNumberFormat="1" applyFont="1" applyAlignment="1">
      <alignment vertical="center"/>
    </xf>
    <xf numFmtId="2" fontId="1" fillId="0" borderId="0" xfId="0" applyNumberFormat="1" applyFont="1" applyAlignment="1">
      <alignment vertical="center"/>
    </xf>
    <xf numFmtId="2" fontId="2" fillId="0" borderId="0" xfId="0" applyNumberFormat="1" applyFont="1" applyAlignment="1">
      <alignment vertical="center"/>
    </xf>
    <xf numFmtId="0" fontId="9" fillId="0" borderId="0" xfId="0" applyFont="1" applyAlignment="1">
      <alignment vertical="center"/>
    </xf>
    <xf numFmtId="1" fontId="2" fillId="0" borderId="0" xfId="0" applyNumberFormat="1" applyFont="1" applyAlignment="1">
      <alignment vertical="center"/>
    </xf>
    <xf numFmtId="1" fontId="2" fillId="0" borderId="12" xfId="0" applyNumberFormat="1" applyFont="1" applyBorder="1" applyAlignment="1">
      <alignment vertical="center"/>
    </xf>
    <xf numFmtId="1" fontId="2" fillId="3" borderId="12" xfId="0" applyNumberFormat="1" applyFont="1" applyFill="1" applyBorder="1" applyAlignment="1">
      <alignment vertical="center"/>
    </xf>
    <xf numFmtId="1" fontId="2" fillId="3" borderId="0" xfId="0" applyNumberFormat="1" applyFont="1" applyFill="1" applyAlignment="1">
      <alignment vertical="center"/>
    </xf>
    <xf numFmtId="0" fontId="1" fillId="5" borderId="12" xfId="0" applyFont="1" applyFill="1" applyBorder="1" applyAlignment="1">
      <alignment vertical="center"/>
    </xf>
    <xf numFmtId="0" fontId="1" fillId="6" borderId="12" xfId="0" applyFont="1" applyFill="1" applyBorder="1" applyAlignment="1">
      <alignment vertical="center"/>
    </xf>
    <xf numFmtId="1" fontId="2" fillId="7" borderId="12" xfId="0" applyNumberFormat="1" applyFont="1" applyFill="1" applyBorder="1" applyAlignment="1">
      <alignment vertical="center"/>
    </xf>
    <xf numFmtId="0" fontId="1" fillId="3" borderId="13" xfId="0" applyFont="1" applyFill="1" applyBorder="1" applyAlignment="1">
      <alignment vertical="center"/>
    </xf>
    <xf numFmtId="1" fontId="2" fillId="3" borderId="13" xfId="0" applyNumberFormat="1" applyFont="1" applyFill="1" applyBorder="1" applyAlignment="1">
      <alignment vertical="center"/>
    </xf>
    <xf numFmtId="1" fontId="2" fillId="3" borderId="7" xfId="0" applyNumberFormat="1" applyFont="1" applyFill="1" applyBorder="1" applyAlignment="1">
      <alignment vertical="center"/>
    </xf>
    <xf numFmtId="1" fontId="2" fillId="0" borderId="4" xfId="0" applyNumberFormat="1" applyFont="1" applyBorder="1" applyAlignment="1">
      <alignment vertical="center"/>
    </xf>
    <xf numFmtId="1" fontId="2" fillId="0" borderId="0" xfId="0" applyNumberFormat="1" applyFont="1" applyAlignment="1">
      <alignment horizontal="right" vertical="center"/>
    </xf>
    <xf numFmtId="2" fontId="2" fillId="0" borderId="0" xfId="0" applyNumberFormat="1" applyFont="1" applyAlignment="1">
      <alignment horizontal="right" vertical="center"/>
    </xf>
    <xf numFmtId="0" fontId="1" fillId="0" borderId="0" xfId="0" applyFont="1" applyAlignment="1">
      <alignment horizontal="right" vertical="center"/>
    </xf>
    <xf numFmtId="2" fontId="1" fillId="0" borderId="0" xfId="0" applyNumberFormat="1" applyFont="1" applyAlignment="1">
      <alignment horizontal="right" vertical="center"/>
    </xf>
    <xf numFmtId="1" fontId="2" fillId="8" borderId="12" xfId="0" applyNumberFormat="1" applyFont="1" applyFill="1" applyBorder="1" applyAlignment="1">
      <alignment vertical="center"/>
    </xf>
    <xf numFmtId="0" fontId="9" fillId="2" borderId="8" xfId="0" applyFont="1" applyFill="1" applyBorder="1" applyAlignment="1">
      <alignment vertical="center"/>
    </xf>
    <xf numFmtId="0" fontId="9" fillId="2" borderId="9" xfId="0" applyFont="1" applyFill="1" applyBorder="1" applyAlignment="1">
      <alignment vertical="center"/>
    </xf>
    <xf numFmtId="0" fontId="1" fillId="0" borderId="0" xfId="0" applyFont="1" applyAlignment="1">
      <alignment horizontal="center" vertical="center"/>
    </xf>
    <xf numFmtId="1" fontId="13" fillId="0" borderId="12" xfId="0" applyNumberFormat="1" applyFont="1" applyBorder="1" applyAlignment="1">
      <alignment horizontal="center" wrapText="1"/>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Alignment="1" applyProtection="1">
      <alignment wrapText="1"/>
      <protection locked="0"/>
    </xf>
    <xf numFmtId="1" fontId="2" fillId="0" borderId="12" xfId="0" applyNumberFormat="1" applyFont="1" applyBorder="1" applyAlignment="1" applyProtection="1">
      <alignment vertical="center"/>
      <protection locked="0"/>
    </xf>
    <xf numFmtId="0" fontId="1" fillId="0" borderId="0" xfId="0" applyFont="1" applyAlignment="1" applyProtection="1">
      <alignment vertical="center" wrapText="1"/>
      <protection locked="0"/>
    </xf>
    <xf numFmtId="1" fontId="2" fillId="0" borderId="7" xfId="0" applyNumberFormat="1" applyFont="1" applyBorder="1" applyAlignment="1" applyProtection="1">
      <alignment vertical="center"/>
      <protection locked="0"/>
    </xf>
    <xf numFmtId="1" fontId="2" fillId="2" borderId="12" xfId="0" applyNumberFormat="1" applyFont="1" applyFill="1" applyBorder="1" applyAlignment="1">
      <alignment vertical="center"/>
    </xf>
    <xf numFmtId="2" fontId="2" fillId="2" borderId="0" xfId="0" applyNumberFormat="1" applyFont="1" applyFill="1" applyAlignment="1">
      <alignment vertical="center"/>
    </xf>
    <xf numFmtId="2" fontId="2" fillId="2" borderId="0" xfId="0" applyNumberFormat="1" applyFont="1" applyFill="1" applyAlignment="1">
      <alignment horizontal="right" vertical="center"/>
    </xf>
    <xf numFmtId="1" fontId="2" fillId="11" borderId="12" xfId="0" applyNumberFormat="1" applyFont="1" applyFill="1" applyBorder="1" applyAlignment="1">
      <alignment vertical="center"/>
    </xf>
    <xf numFmtId="1" fontId="2" fillId="11" borderId="13" xfId="0" applyNumberFormat="1" applyFont="1" applyFill="1" applyBorder="1" applyAlignment="1">
      <alignment vertical="center"/>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49" fontId="2" fillId="2" borderId="12" xfId="0" applyNumberFormat="1" applyFont="1" applyFill="1" applyBorder="1" applyAlignment="1">
      <alignment horizontal="center" vertical="center"/>
    </xf>
    <xf numFmtId="0" fontId="9" fillId="0" borderId="0" xfId="0" applyFont="1" applyAlignment="1" applyProtection="1">
      <alignment vertical="center" wrapText="1"/>
      <protection locked="0"/>
    </xf>
    <xf numFmtId="2" fontId="16" fillId="9" borderId="12" xfId="0" applyNumberFormat="1" applyFont="1" applyFill="1" applyBorder="1" applyAlignment="1">
      <alignment vertical="center"/>
    </xf>
    <xf numFmtId="2" fontId="16" fillId="2" borderId="12" xfId="0" applyNumberFormat="1" applyFont="1" applyFill="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6" xfId="0" applyFont="1" applyBorder="1" applyAlignment="1">
      <alignment horizontal="left"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11"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2" xfId="0" applyFont="1" applyFill="1" applyBorder="1" applyAlignment="1">
      <alignment horizont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9" xfId="0" applyFont="1" applyFill="1" applyBorder="1" applyAlignment="1">
      <alignment horizontal="right" vertic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1" fillId="11" borderId="7"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6" xfId="0" applyFont="1" applyFill="1" applyBorder="1" applyAlignment="1">
      <alignment horizontal="center" vertical="center"/>
    </xf>
    <xf numFmtId="0" fontId="9" fillId="12" borderId="12"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0" xfId="0" applyFont="1" applyFill="1" applyAlignment="1">
      <alignment horizontal="center" vertical="center" wrapText="1"/>
    </xf>
    <xf numFmtId="0" fontId="9" fillId="12" borderId="4"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6" xfId="0" applyFont="1" applyFill="1" applyBorder="1" applyAlignment="1">
      <alignment horizontal="center" vertical="center" wrapText="1"/>
    </xf>
    <xf numFmtId="2" fontId="2" fillId="2" borderId="7" xfId="0" applyNumberFormat="1" applyFont="1" applyFill="1" applyBorder="1" applyAlignment="1">
      <alignment horizontal="center" vertical="center"/>
    </xf>
    <xf numFmtId="2" fontId="2" fillId="2" borderId="8" xfId="0" applyNumberFormat="1" applyFont="1" applyFill="1" applyBorder="1" applyAlignment="1">
      <alignment horizontal="center" vertical="center"/>
    </xf>
    <xf numFmtId="2" fontId="2" fillId="2" borderId="9"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2" fontId="2" fillId="2" borderId="7" xfId="0" applyNumberFormat="1" applyFont="1" applyFill="1" applyBorder="1" applyAlignment="1">
      <alignment horizontal="right" vertical="center"/>
    </xf>
    <xf numFmtId="2" fontId="2" fillId="2" borderId="8" xfId="0" applyNumberFormat="1" applyFont="1" applyFill="1" applyBorder="1" applyAlignment="1">
      <alignment horizontal="right" vertical="center"/>
    </xf>
    <xf numFmtId="2" fontId="2" fillId="2" borderId="9" xfId="0" applyNumberFormat="1" applyFont="1" applyFill="1" applyBorder="1" applyAlignment="1">
      <alignment horizontal="right" vertical="center"/>
    </xf>
    <xf numFmtId="49" fontId="2" fillId="2" borderId="12" xfId="0" applyNumberFormat="1" applyFont="1" applyFill="1" applyBorder="1" applyAlignment="1">
      <alignment horizontal="center" vertical="center" wrapText="1"/>
    </xf>
    <xf numFmtId="2" fontId="18" fillId="2" borderId="7" xfId="0" applyNumberFormat="1" applyFont="1" applyFill="1" applyBorder="1" applyAlignment="1">
      <alignment horizontal="right" vertical="center"/>
    </xf>
    <xf numFmtId="2" fontId="18" fillId="2" borderId="8" xfId="0" applyNumberFormat="1" applyFont="1" applyFill="1" applyBorder="1" applyAlignment="1">
      <alignment horizontal="right" vertical="center"/>
    </xf>
    <xf numFmtId="2" fontId="18" fillId="2" borderId="9" xfId="0" applyNumberFormat="1" applyFont="1" applyFill="1" applyBorder="1" applyAlignment="1">
      <alignment horizontal="right" vertical="center"/>
    </xf>
    <xf numFmtId="1" fontId="2" fillId="2" borderId="7" xfId="0" applyNumberFormat="1" applyFont="1" applyFill="1" applyBorder="1" applyAlignment="1">
      <alignment horizontal="right" vertical="center"/>
    </xf>
    <xf numFmtId="1" fontId="2" fillId="2" borderId="8" xfId="0" applyNumberFormat="1" applyFont="1" applyFill="1" applyBorder="1" applyAlignment="1">
      <alignment horizontal="right" vertical="center"/>
    </xf>
    <xf numFmtId="1" fontId="2" fillId="2" borderId="9" xfId="0" applyNumberFormat="1" applyFont="1" applyFill="1" applyBorder="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2" fontId="16" fillId="2" borderId="7" xfId="0" applyNumberFormat="1" applyFont="1" applyFill="1" applyBorder="1" applyAlignment="1">
      <alignment horizontal="center" vertical="center"/>
    </xf>
    <xf numFmtId="2" fontId="16" fillId="2" borderId="8" xfId="0" applyNumberFormat="1" applyFont="1" applyFill="1" applyBorder="1" applyAlignment="1">
      <alignment horizontal="center" vertical="center"/>
    </xf>
    <xf numFmtId="2" fontId="16" fillId="2" borderId="9" xfId="0" applyNumberFormat="1" applyFont="1" applyFill="1" applyBorder="1" applyAlignment="1">
      <alignment horizontal="center" vertical="center"/>
    </xf>
    <xf numFmtId="1" fontId="2" fillId="2" borderId="1" xfId="0" applyNumberFormat="1" applyFont="1" applyFill="1" applyBorder="1" applyAlignment="1">
      <alignment horizontal="right" vertical="center"/>
    </xf>
    <xf numFmtId="1" fontId="2" fillId="2" borderId="10" xfId="0" applyNumberFormat="1" applyFont="1" applyFill="1" applyBorder="1" applyAlignment="1">
      <alignment horizontal="right" vertical="center"/>
    </xf>
    <xf numFmtId="1" fontId="2" fillId="2" borderId="2" xfId="0" applyNumberFormat="1" applyFont="1" applyFill="1" applyBorder="1" applyAlignment="1">
      <alignment horizontal="right" vertical="center"/>
    </xf>
    <xf numFmtId="1" fontId="2" fillId="2" borderId="5"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1" fontId="2" fillId="2" borderId="6" xfId="0" applyNumberFormat="1" applyFont="1" applyFill="1" applyBorder="1" applyAlignment="1">
      <alignment horizontal="right"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3" fillId="0" borderId="11" xfId="0" applyFont="1" applyBorder="1" applyAlignment="1">
      <alignment horizontal="center" vertic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3" fillId="2" borderId="12" xfId="0" applyFont="1" applyFill="1" applyBorder="1" applyAlignment="1">
      <alignment horizontal="center" vertical="center"/>
    </xf>
    <xf numFmtId="0" fontId="1" fillId="2" borderId="8" xfId="0" applyFont="1" applyFill="1" applyBorder="1" applyAlignment="1">
      <alignment horizontal="center" vertical="center"/>
    </xf>
    <xf numFmtId="2" fontId="16" fillId="2" borderId="7" xfId="0" applyNumberFormat="1" applyFont="1" applyFill="1" applyBorder="1" applyAlignment="1">
      <alignment horizontal="right" vertical="center"/>
    </xf>
    <xf numFmtId="2" fontId="16" fillId="2" borderId="8" xfId="0" applyNumberFormat="1" applyFont="1" applyFill="1" applyBorder="1" applyAlignment="1">
      <alignment horizontal="right" vertical="center"/>
    </xf>
    <xf numFmtId="2" fontId="16" fillId="2" borderId="9" xfId="0" applyNumberFormat="1" applyFont="1" applyFill="1" applyBorder="1" applyAlignment="1">
      <alignment horizontal="right" vertical="center"/>
    </xf>
    <xf numFmtId="49" fontId="9" fillId="2" borderId="1"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2" fillId="2" borderId="4" xfId="0" applyNumberFormat="1" applyFont="1" applyFill="1" applyBorder="1" applyAlignment="1">
      <alignment horizontal="center" vertical="center" wrapText="1"/>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 fillId="0" borderId="0" xfId="0" applyFont="1" applyAlignment="1">
      <alignment horizontal="center" vertical="center"/>
    </xf>
    <xf numFmtId="2" fontId="2" fillId="2" borderId="7" xfId="0" applyNumberFormat="1" applyFont="1" applyFill="1" applyBorder="1" applyAlignment="1">
      <alignment horizontal="left" vertical="center"/>
    </xf>
    <xf numFmtId="2" fontId="2" fillId="2" borderId="8" xfId="0" applyNumberFormat="1" applyFont="1" applyFill="1" applyBorder="1" applyAlignment="1">
      <alignment horizontal="left" vertical="center"/>
    </xf>
    <xf numFmtId="2" fontId="2" fillId="2" borderId="9" xfId="0" applyNumberFormat="1"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0" xfId="0" applyFont="1" applyAlignment="1">
      <alignment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7" fillId="10" borderId="7" xfId="0" applyFont="1" applyFill="1" applyBorder="1" applyAlignment="1">
      <alignment horizontal="center" vertical="center"/>
    </xf>
    <xf numFmtId="0" fontId="9" fillId="10" borderId="8" xfId="0" applyFont="1" applyFill="1" applyBorder="1" applyAlignment="1">
      <alignment horizontal="center" vertical="center"/>
    </xf>
    <xf numFmtId="0" fontId="9" fillId="10" borderId="9" xfId="0" applyFont="1" applyFill="1" applyBorder="1" applyAlignment="1">
      <alignment horizontal="center" vertical="center"/>
    </xf>
    <xf numFmtId="0" fontId="9" fillId="7" borderId="7"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xf>
    <xf numFmtId="0" fontId="2" fillId="2" borderId="12" xfId="0" applyFont="1" applyFill="1" applyBorder="1" applyAlignment="1">
      <alignment horizontal="center" vertical="center" wrapText="1"/>
    </xf>
    <xf numFmtId="2" fontId="2" fillId="0" borderId="7" xfId="0" applyNumberFormat="1" applyFont="1" applyBorder="1" applyAlignment="1">
      <alignment horizontal="right" vertical="center"/>
    </xf>
    <xf numFmtId="2" fontId="2" fillId="0" borderId="8" xfId="0" applyNumberFormat="1" applyFont="1" applyBorder="1" applyAlignment="1">
      <alignment horizontal="right" vertical="center"/>
    </xf>
    <xf numFmtId="2" fontId="2" fillId="0" borderId="9" xfId="0" applyNumberFormat="1" applyFont="1" applyBorder="1" applyAlignment="1">
      <alignment horizontal="right" vertical="center"/>
    </xf>
    <xf numFmtId="2" fontId="2" fillId="0" borderId="7"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9" xfId="0" applyNumberFormat="1" applyFont="1" applyBorder="1" applyAlignment="1">
      <alignment horizontal="center" vertical="center"/>
    </xf>
    <xf numFmtId="0" fontId="5" fillId="0" borderId="0" xfId="0" applyFont="1" applyAlignment="1">
      <alignment horizontal="left" vertical="center"/>
    </xf>
    <xf numFmtId="1" fontId="2" fillId="0" borderId="7" xfId="0" applyNumberFormat="1" applyFont="1" applyBorder="1" applyAlignment="1">
      <alignment horizontal="right" vertical="center"/>
    </xf>
    <xf numFmtId="1" fontId="2" fillId="0" borderId="8" xfId="0" applyNumberFormat="1" applyFont="1" applyBorder="1" applyAlignment="1">
      <alignment horizontal="right" vertical="center"/>
    </xf>
    <xf numFmtId="1" fontId="2" fillId="0" borderId="9" xfId="0" applyNumberFormat="1" applyFont="1" applyBorder="1" applyAlignment="1">
      <alignment horizontal="right" vertical="center"/>
    </xf>
    <xf numFmtId="1" fontId="5" fillId="2" borderId="7" xfId="0" applyNumberFormat="1" applyFont="1" applyFill="1" applyBorder="1" applyAlignment="1">
      <alignment horizontal="right" vertical="center"/>
    </xf>
    <xf numFmtId="165" fontId="2" fillId="0" borderId="7" xfId="0" applyNumberFormat="1" applyFont="1" applyBorder="1" applyAlignment="1">
      <alignment horizontal="right" vertical="center"/>
    </xf>
    <xf numFmtId="165" fontId="2" fillId="0" borderId="8" xfId="0" applyNumberFormat="1" applyFont="1" applyBorder="1" applyAlignment="1">
      <alignment horizontal="right" vertical="center"/>
    </xf>
    <xf numFmtId="165" fontId="2" fillId="0" borderId="9" xfId="0" applyNumberFormat="1" applyFont="1" applyBorder="1" applyAlignment="1">
      <alignment horizontal="right" vertical="center"/>
    </xf>
    <xf numFmtId="0" fontId="1" fillId="0" borderId="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9" fillId="0" borderId="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1" fontId="2" fillId="2" borderId="12" xfId="0" applyNumberFormat="1" applyFont="1" applyFill="1" applyBorder="1" applyAlignment="1">
      <alignment horizontal="right" vertical="center"/>
    </xf>
    <xf numFmtId="0" fontId="1" fillId="0" borderId="12" xfId="0" applyFont="1" applyBorder="1" applyAlignment="1" applyProtection="1">
      <alignment horizontal="center" vertical="center"/>
      <protection locked="0"/>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9" fillId="3" borderId="9" xfId="0" applyFont="1" applyFill="1" applyBorder="1" applyAlignment="1">
      <alignment horizontal="center" vertical="center"/>
    </xf>
    <xf numFmtId="2" fontId="2" fillId="0" borderId="12"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119063</xdr:colOff>
      <xdr:row>2</xdr:row>
      <xdr:rowOff>53976</xdr:rowOff>
    </xdr:from>
    <xdr:to>
      <xdr:col>20</xdr:col>
      <xdr:colOff>69323</xdr:colOff>
      <xdr:row>5</xdr:row>
      <xdr:rowOff>55563</xdr:rowOff>
    </xdr:to>
    <xdr:pic>
      <xdr:nvPicPr>
        <xdr:cNvPr id="9" name="Picture 8">
          <a:extLst>
            <a:ext uri="{FF2B5EF4-FFF2-40B4-BE49-F238E27FC236}">
              <a16:creationId xmlns:a16="http://schemas.microsoft.com/office/drawing/2014/main" id="{4951FD0B-553A-4FBA-AEC5-5E8D3927C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9188" y="419101"/>
          <a:ext cx="378885" cy="4619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BBE44-DFED-4CC8-B0CB-FC7EF15489DD}">
  <dimension ref="B1:BH142"/>
  <sheetViews>
    <sheetView showGridLines="0" zoomScale="80" zoomScaleNormal="80" zoomScaleSheetLayoutView="90" workbookViewId="0">
      <selection activeCell="AL16" sqref="AL16"/>
    </sheetView>
  </sheetViews>
  <sheetFormatPr defaultColWidth="8.7265625" defaultRowHeight="15.5" x14ac:dyDescent="0.35"/>
  <cols>
    <col min="1" max="9" width="2.08984375" style="1" customWidth="1"/>
    <col min="10" max="11" width="0.90625" style="1" customWidth="1"/>
    <col min="12" max="28" width="2.08984375" style="1" customWidth="1"/>
    <col min="29" max="16384" width="8.7265625" style="1"/>
  </cols>
  <sheetData>
    <row r="1" spans="2:60" ht="14.5" customHeight="1" x14ac:dyDescent="0.35"/>
    <row r="2" spans="2:60" ht="14.5" customHeight="1" x14ac:dyDescent="0.35">
      <c r="B2" s="85" t="s">
        <v>7</v>
      </c>
      <c r="C2" s="86"/>
      <c r="D2" s="86"/>
      <c r="E2" s="86"/>
      <c r="F2" s="86"/>
      <c r="G2" s="86"/>
      <c r="H2" s="86"/>
      <c r="I2" s="87"/>
      <c r="L2" s="82" t="s">
        <v>24</v>
      </c>
      <c r="M2" s="83"/>
      <c r="N2" s="83"/>
      <c r="O2" s="83"/>
      <c r="P2" s="83"/>
      <c r="Q2" s="83"/>
      <c r="R2" s="83"/>
      <c r="S2" s="83"/>
      <c r="T2" s="83"/>
      <c r="U2" s="83"/>
      <c r="V2" s="83"/>
      <c r="W2" s="83"/>
      <c r="X2" s="83"/>
      <c r="Y2" s="83"/>
      <c r="Z2" s="83"/>
      <c r="AA2" s="84"/>
      <c r="AC2" s="76" t="s">
        <v>15</v>
      </c>
      <c r="AD2" s="77"/>
      <c r="AE2" s="77"/>
      <c r="AF2" s="77"/>
      <c r="AG2" s="77"/>
      <c r="AH2" s="77"/>
      <c r="AI2" s="78"/>
      <c r="AJ2" s="16"/>
      <c r="AK2" s="16"/>
      <c r="AL2" s="16"/>
      <c r="AM2" s="16"/>
      <c r="AN2" s="16"/>
      <c r="AO2" s="16"/>
      <c r="AP2" s="16"/>
      <c r="AQ2" s="16"/>
      <c r="AR2" s="16"/>
      <c r="AS2" s="16"/>
      <c r="AT2" s="16"/>
      <c r="AU2" s="16"/>
      <c r="AV2" s="16"/>
      <c r="AW2" s="16"/>
      <c r="AX2" s="16"/>
      <c r="AY2" s="16"/>
      <c r="AZ2" s="16"/>
      <c r="BA2" s="16"/>
      <c r="BB2" s="16"/>
      <c r="BC2" s="16"/>
      <c r="BD2" s="16"/>
      <c r="BE2" s="16"/>
      <c r="BF2" s="16"/>
      <c r="BG2" s="16"/>
      <c r="BH2" s="16"/>
    </row>
    <row r="3" spans="2:60" ht="14.5" customHeight="1" x14ac:dyDescent="0.35">
      <c r="B3" s="88"/>
      <c r="C3" s="89"/>
      <c r="D3" s="89"/>
      <c r="E3" s="89"/>
      <c r="F3" s="89"/>
      <c r="G3" s="89"/>
      <c r="H3" s="89"/>
      <c r="I3" s="90"/>
      <c r="L3" s="5"/>
      <c r="M3" s="3"/>
      <c r="N3" s="3"/>
      <c r="O3" s="3"/>
      <c r="P3" s="3"/>
      <c r="Q3" s="3"/>
      <c r="R3" s="3"/>
      <c r="S3" s="3"/>
      <c r="T3" s="3"/>
      <c r="U3" s="3"/>
      <c r="V3" s="3"/>
      <c r="W3" s="3"/>
      <c r="X3" s="3"/>
      <c r="Y3" s="3"/>
      <c r="Z3" s="3"/>
      <c r="AA3" s="6"/>
      <c r="AC3" s="73"/>
      <c r="AD3" s="74"/>
      <c r="AE3" s="74"/>
      <c r="AF3" s="74"/>
      <c r="AG3" s="74"/>
      <c r="AH3" s="74"/>
      <c r="AI3" s="75"/>
    </row>
    <row r="4" spans="2:60" ht="8" customHeight="1" x14ac:dyDescent="0.35">
      <c r="B4" s="88"/>
      <c r="C4" s="89"/>
      <c r="D4" s="89"/>
      <c r="E4" s="89"/>
      <c r="F4" s="89"/>
      <c r="G4" s="89"/>
      <c r="H4" s="89"/>
      <c r="I4" s="90"/>
      <c r="L4" s="4"/>
      <c r="AA4" s="7"/>
      <c r="AC4" s="73"/>
      <c r="AD4" s="74"/>
      <c r="AE4" s="74"/>
      <c r="AF4" s="74"/>
      <c r="AG4" s="74"/>
      <c r="AH4" s="74"/>
      <c r="AI4" s="75"/>
    </row>
    <row r="5" spans="2:60" ht="13.5" customHeight="1" x14ac:dyDescent="0.35">
      <c r="B5" s="88"/>
      <c r="C5" s="89"/>
      <c r="D5" s="89"/>
      <c r="E5" s="89"/>
      <c r="F5" s="89"/>
      <c r="G5" s="89"/>
      <c r="H5" s="89"/>
      <c r="I5" s="90"/>
      <c r="L5" s="4"/>
      <c r="AA5" s="7"/>
      <c r="AC5" s="73" t="s">
        <v>23</v>
      </c>
      <c r="AD5" s="74"/>
      <c r="AE5" s="74"/>
      <c r="AF5" s="74"/>
      <c r="AG5" s="74"/>
      <c r="AH5" s="74"/>
      <c r="AI5" s="75"/>
    </row>
    <row r="6" spans="2:60" ht="12" customHeight="1" x14ac:dyDescent="0.35">
      <c r="B6" s="88"/>
      <c r="C6" s="89"/>
      <c r="D6" s="89"/>
      <c r="E6" s="89"/>
      <c r="F6" s="89"/>
      <c r="G6" s="89"/>
      <c r="H6" s="89"/>
      <c r="I6" s="90"/>
      <c r="L6" s="4"/>
      <c r="AA6" s="7"/>
      <c r="AC6" s="73"/>
      <c r="AD6" s="74"/>
      <c r="AE6" s="74"/>
      <c r="AF6" s="74"/>
      <c r="AG6" s="74"/>
      <c r="AH6" s="74"/>
      <c r="AI6" s="75"/>
    </row>
    <row r="7" spans="2:60" ht="14.5" customHeight="1" x14ac:dyDescent="0.35">
      <c r="B7" s="88"/>
      <c r="C7" s="89"/>
      <c r="D7" s="89"/>
      <c r="E7" s="89"/>
      <c r="F7" s="89"/>
      <c r="G7" s="89"/>
      <c r="H7" s="89"/>
      <c r="I7" s="90"/>
      <c r="L7" s="100" t="s">
        <v>5</v>
      </c>
      <c r="M7" s="101"/>
      <c r="N7" s="101"/>
      <c r="O7" s="102"/>
      <c r="P7" s="82" t="s">
        <v>22</v>
      </c>
      <c r="Q7" s="83"/>
      <c r="R7" s="83"/>
      <c r="S7" s="83"/>
      <c r="T7" s="83"/>
      <c r="U7" s="83"/>
      <c r="V7" s="83"/>
      <c r="W7" s="83"/>
      <c r="X7" s="83"/>
      <c r="Y7" s="83"/>
      <c r="Z7" s="83"/>
      <c r="AA7" s="84"/>
      <c r="AC7" s="73"/>
      <c r="AD7" s="74"/>
      <c r="AE7" s="74"/>
      <c r="AF7" s="74"/>
      <c r="AG7" s="74"/>
      <c r="AH7" s="74"/>
      <c r="AI7" s="75"/>
    </row>
    <row r="8" spans="2:60" ht="14.5" customHeight="1" x14ac:dyDescent="0.35">
      <c r="B8" s="91"/>
      <c r="C8" s="92"/>
      <c r="D8" s="92"/>
      <c r="E8" s="92"/>
      <c r="F8" s="92"/>
      <c r="G8" s="92"/>
      <c r="H8" s="92"/>
      <c r="I8" s="93"/>
      <c r="L8" s="94" t="s">
        <v>25</v>
      </c>
      <c r="M8" s="95"/>
      <c r="N8" s="95"/>
      <c r="O8" s="96"/>
      <c r="P8" s="97" t="s">
        <v>20</v>
      </c>
      <c r="Q8" s="98"/>
      <c r="R8" s="98"/>
      <c r="S8" s="99"/>
      <c r="T8" s="97" t="s">
        <v>21</v>
      </c>
      <c r="U8" s="98"/>
      <c r="V8" s="98"/>
      <c r="W8" s="99"/>
      <c r="X8" s="97" t="s">
        <v>6</v>
      </c>
      <c r="Y8" s="98"/>
      <c r="Z8" s="98"/>
      <c r="AA8" s="99"/>
      <c r="AC8" s="73"/>
      <c r="AD8" s="74"/>
      <c r="AE8" s="74"/>
      <c r="AF8" s="74"/>
      <c r="AG8" s="74"/>
      <c r="AH8" s="74"/>
      <c r="AI8" s="75"/>
    </row>
    <row r="9" spans="2:60" ht="4.5" customHeight="1" x14ac:dyDescent="0.35">
      <c r="AC9" s="73"/>
      <c r="AD9" s="74"/>
      <c r="AE9" s="74"/>
      <c r="AF9" s="74"/>
      <c r="AG9" s="74"/>
      <c r="AH9" s="74"/>
      <c r="AI9" s="75"/>
    </row>
    <row r="10" spans="2:60" s="9" customFormat="1" ht="24" customHeight="1" x14ac:dyDescent="0.35">
      <c r="B10" s="10" t="s">
        <v>0</v>
      </c>
      <c r="C10" s="11"/>
      <c r="D10" s="12"/>
      <c r="E10" s="12"/>
      <c r="F10" s="12"/>
      <c r="G10" s="12"/>
      <c r="H10" s="12"/>
      <c r="I10" s="13"/>
      <c r="L10" s="67">
        <v>11</v>
      </c>
      <c r="M10" s="68"/>
      <c r="N10" s="68"/>
      <c r="O10" s="69"/>
      <c r="P10" s="67">
        <v>270</v>
      </c>
      <c r="Q10" s="68"/>
      <c r="R10" s="68"/>
      <c r="S10" s="68"/>
      <c r="T10" s="67">
        <v>-71</v>
      </c>
      <c r="U10" s="68"/>
      <c r="V10" s="68"/>
      <c r="W10" s="68"/>
      <c r="X10" s="67">
        <v>62</v>
      </c>
      <c r="Y10" s="68"/>
      <c r="Z10" s="68"/>
      <c r="AA10" s="69"/>
      <c r="AC10" s="73"/>
      <c r="AD10" s="74"/>
      <c r="AE10" s="74"/>
      <c r="AF10" s="74"/>
      <c r="AG10" s="74"/>
      <c r="AH10" s="74"/>
      <c r="AI10" s="75"/>
    </row>
    <row r="11" spans="2:60" s="9" customFormat="1" ht="4" customHeight="1" x14ac:dyDescent="0.35">
      <c r="B11" s="8"/>
      <c r="C11" s="8"/>
      <c r="AC11" s="73"/>
      <c r="AD11" s="74"/>
      <c r="AE11" s="74"/>
      <c r="AF11" s="74"/>
      <c r="AG11" s="74"/>
      <c r="AH11" s="74"/>
      <c r="AI11" s="75"/>
    </row>
    <row r="12" spans="2:60" s="9" customFormat="1" ht="24" customHeight="1" x14ac:dyDescent="0.35">
      <c r="B12" s="10" t="s">
        <v>1</v>
      </c>
      <c r="C12" s="11"/>
      <c r="D12" s="12"/>
      <c r="E12" s="12"/>
      <c r="F12" s="12"/>
      <c r="G12" s="12"/>
      <c r="H12" s="12"/>
      <c r="I12" s="13"/>
      <c r="L12" s="67">
        <v>44</v>
      </c>
      <c r="M12" s="68"/>
      <c r="N12" s="68"/>
      <c r="O12" s="69"/>
      <c r="P12" s="67">
        <v>62</v>
      </c>
      <c r="Q12" s="68"/>
      <c r="R12" s="68"/>
      <c r="S12" s="68"/>
      <c r="T12" s="67">
        <v>-195</v>
      </c>
      <c r="U12" s="68"/>
      <c r="V12" s="68"/>
      <c r="W12" s="68"/>
      <c r="X12" s="67">
        <v>-49</v>
      </c>
      <c r="Y12" s="68"/>
      <c r="Z12" s="68"/>
      <c r="AA12" s="69"/>
      <c r="AC12" s="73"/>
      <c r="AD12" s="74"/>
      <c r="AE12" s="74"/>
      <c r="AF12" s="74"/>
      <c r="AG12" s="74"/>
      <c r="AH12" s="74"/>
      <c r="AI12" s="75"/>
    </row>
    <row r="13" spans="2:60" s="9" customFormat="1" ht="4" customHeight="1" x14ac:dyDescent="0.35">
      <c r="B13" s="8"/>
      <c r="C13" s="8"/>
      <c r="AC13" s="73"/>
      <c r="AD13" s="74"/>
      <c r="AE13" s="74"/>
      <c r="AF13" s="74"/>
      <c r="AG13" s="74"/>
      <c r="AH13" s="74"/>
      <c r="AI13" s="75"/>
    </row>
    <row r="14" spans="2:60" s="9" customFormat="1" ht="24" customHeight="1" x14ac:dyDescent="0.35">
      <c r="B14" s="10" t="s">
        <v>2</v>
      </c>
      <c r="C14" s="11"/>
      <c r="D14" s="12"/>
      <c r="E14" s="12"/>
      <c r="F14" s="12"/>
      <c r="G14" s="12"/>
      <c r="H14" s="12"/>
      <c r="I14" s="13"/>
      <c r="L14" s="67">
        <v>26</v>
      </c>
      <c r="M14" s="68"/>
      <c r="N14" s="68"/>
      <c r="O14" s="69"/>
      <c r="P14" s="67">
        <v>56.5</v>
      </c>
      <c r="Q14" s="68"/>
      <c r="R14" s="68"/>
      <c r="S14" s="68"/>
      <c r="T14" s="67">
        <v>-127</v>
      </c>
      <c r="U14" s="68"/>
      <c r="V14" s="68"/>
      <c r="W14" s="68"/>
      <c r="X14" s="67">
        <v>-120.5</v>
      </c>
      <c r="Y14" s="68"/>
      <c r="Z14" s="68"/>
      <c r="AA14" s="69"/>
      <c r="AC14" s="73" t="s">
        <v>14</v>
      </c>
      <c r="AD14" s="74"/>
      <c r="AE14" s="74"/>
      <c r="AF14" s="74"/>
      <c r="AG14" s="74"/>
      <c r="AH14" s="74"/>
      <c r="AI14" s="75"/>
    </row>
    <row r="15" spans="2:60" s="9" customFormat="1" ht="4" customHeight="1" x14ac:dyDescent="0.35">
      <c r="B15" s="8"/>
      <c r="C15" s="8"/>
      <c r="AC15" s="73"/>
      <c r="AD15" s="74"/>
      <c r="AE15" s="74"/>
      <c r="AF15" s="74"/>
      <c r="AG15" s="74"/>
      <c r="AH15" s="74"/>
      <c r="AI15" s="75"/>
    </row>
    <row r="16" spans="2:60" s="9" customFormat="1" ht="24" customHeight="1" x14ac:dyDescent="0.35">
      <c r="B16" s="10" t="s">
        <v>3</v>
      </c>
      <c r="C16" s="11"/>
      <c r="D16" s="12"/>
      <c r="E16" s="12"/>
      <c r="F16" s="12"/>
      <c r="G16" s="12"/>
      <c r="H16" s="12"/>
      <c r="I16" s="13"/>
      <c r="L16" s="67">
        <v>122</v>
      </c>
      <c r="M16" s="68"/>
      <c r="N16" s="68"/>
      <c r="O16" s="69"/>
      <c r="P16" s="67">
        <v>196</v>
      </c>
      <c r="Q16" s="68"/>
      <c r="R16" s="68"/>
      <c r="S16" s="68"/>
      <c r="T16" s="67">
        <v>-147</v>
      </c>
      <c r="U16" s="68"/>
      <c r="V16" s="68"/>
      <c r="W16" s="68"/>
      <c r="X16" s="67">
        <v>34.5</v>
      </c>
      <c r="Y16" s="68"/>
      <c r="Z16" s="68"/>
      <c r="AA16" s="69"/>
      <c r="AC16" s="73"/>
      <c r="AD16" s="74"/>
      <c r="AE16" s="74"/>
      <c r="AF16" s="74"/>
      <c r="AG16" s="74"/>
      <c r="AH16" s="74"/>
      <c r="AI16" s="75"/>
    </row>
    <row r="17" spans="2:35" s="9" customFormat="1" ht="4" customHeight="1" x14ac:dyDescent="0.35">
      <c r="B17" s="8"/>
      <c r="C17" s="8"/>
      <c r="AC17" s="73"/>
      <c r="AD17" s="74"/>
      <c r="AE17" s="74"/>
      <c r="AF17" s="74"/>
      <c r="AG17" s="74"/>
      <c r="AH17" s="74"/>
      <c r="AI17" s="75"/>
    </row>
    <row r="18" spans="2:35" s="9" customFormat="1" ht="24" customHeight="1" x14ac:dyDescent="0.35">
      <c r="B18" s="10" t="s">
        <v>4</v>
      </c>
      <c r="C18" s="11"/>
      <c r="D18" s="12"/>
      <c r="E18" s="12"/>
      <c r="F18" s="12"/>
      <c r="G18" s="12"/>
      <c r="H18" s="12"/>
      <c r="I18" s="13"/>
      <c r="L18" s="67">
        <v>60</v>
      </c>
      <c r="M18" s="68"/>
      <c r="N18" s="68"/>
      <c r="O18" s="69"/>
      <c r="P18" s="67">
        <v>76</v>
      </c>
      <c r="Q18" s="68"/>
      <c r="R18" s="68"/>
      <c r="S18" s="68"/>
      <c r="T18" s="67">
        <v>-173</v>
      </c>
      <c r="U18" s="68"/>
      <c r="V18" s="68"/>
      <c r="W18" s="68"/>
      <c r="X18" s="67">
        <v>5</v>
      </c>
      <c r="Y18" s="68"/>
      <c r="Z18" s="68"/>
      <c r="AA18" s="69"/>
      <c r="AC18" s="73" t="s">
        <v>26</v>
      </c>
      <c r="AD18" s="74"/>
      <c r="AE18" s="74"/>
      <c r="AF18" s="74"/>
      <c r="AG18" s="74"/>
      <c r="AH18" s="74"/>
      <c r="AI18" s="75"/>
    </row>
    <row r="19" spans="2:35" ht="5.15" customHeight="1" x14ac:dyDescent="0.35">
      <c r="K19" s="9"/>
      <c r="L19" s="9"/>
      <c r="M19" s="9"/>
      <c r="N19" s="9"/>
      <c r="O19" s="9"/>
      <c r="P19" s="9"/>
      <c r="Q19" s="9"/>
      <c r="R19" s="9"/>
      <c r="S19" s="9"/>
      <c r="T19" s="9"/>
      <c r="U19" s="9"/>
      <c r="V19" s="9"/>
      <c r="W19" s="9"/>
      <c r="X19" s="9"/>
      <c r="Y19" s="9"/>
      <c r="Z19" s="9"/>
      <c r="AA19" s="9"/>
      <c r="AC19" s="73"/>
      <c r="AD19" s="74"/>
      <c r="AE19" s="74"/>
      <c r="AF19" s="74"/>
      <c r="AG19" s="74"/>
      <c r="AH19" s="74"/>
      <c r="AI19" s="75"/>
    </row>
    <row r="20" spans="2:35" ht="42" customHeight="1" x14ac:dyDescent="0.4">
      <c r="B20" s="21" t="s">
        <v>19</v>
      </c>
      <c r="C20" s="17"/>
      <c r="D20" s="17"/>
      <c r="E20" s="17"/>
      <c r="F20" s="17"/>
      <c r="G20" s="17"/>
      <c r="H20" s="17"/>
      <c r="I20" s="18"/>
      <c r="J20" s="19"/>
      <c r="K20" s="20"/>
      <c r="L20" s="70">
        <f>SUM(L10+L12+L14+L16+L18)</f>
        <v>263</v>
      </c>
      <c r="M20" s="71"/>
      <c r="N20" s="71"/>
      <c r="O20" s="72"/>
      <c r="P20" s="70">
        <f>MEDIAN(P10,P12,P14,P16,P18)</f>
        <v>76</v>
      </c>
      <c r="Q20" s="71"/>
      <c r="R20" s="71"/>
      <c r="S20" s="72"/>
      <c r="T20" s="70">
        <f>MEDIAN(T10,T12,T14,T16,T18)</f>
        <v>-147</v>
      </c>
      <c r="U20" s="71"/>
      <c r="V20" s="71"/>
      <c r="W20" s="72"/>
      <c r="X20" s="70">
        <v>34.5</v>
      </c>
      <c r="Y20" s="71"/>
      <c r="Z20" s="71"/>
      <c r="AA20" s="72"/>
      <c r="AC20" s="79"/>
      <c r="AD20" s="80"/>
      <c r="AE20" s="80"/>
      <c r="AF20" s="80"/>
      <c r="AG20" s="80"/>
      <c r="AH20" s="80"/>
      <c r="AI20" s="81"/>
    </row>
    <row r="21" spans="2:35" ht="14.5" customHeight="1" x14ac:dyDescent="0.35"/>
    <row r="22" spans="2:35" s="15" customFormat="1" ht="49" customHeight="1" x14ac:dyDescent="0.3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2:35" s="15" customFormat="1" ht="6.65" customHeight="1" x14ac:dyDescent="0.3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row>
    <row r="24" spans="2:35" ht="62.5" customHeight="1" x14ac:dyDescent="0.3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2:35" ht="6" customHeight="1" x14ac:dyDescent="0.35"/>
    <row r="26" spans="2:35" ht="92.5" customHeight="1" x14ac:dyDescent="0.3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2:35" ht="4.5" customHeight="1" x14ac:dyDescent="0.35"/>
    <row r="28" spans="2:35" ht="32.15" customHeight="1" x14ac:dyDescent="0.3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2:35" ht="14.5" customHeight="1" x14ac:dyDescent="0.35"/>
    <row r="30" spans="2:35" ht="14.5" customHeight="1" x14ac:dyDescent="0.35"/>
    <row r="31" spans="2:35" ht="14.5" customHeight="1" x14ac:dyDescent="0.35"/>
    <row r="32" spans="2:35"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sheetData>
  <mergeCells count="36">
    <mergeCell ref="AC18:AI20"/>
    <mergeCell ref="L2:AA2"/>
    <mergeCell ref="B2:I8"/>
    <mergeCell ref="L8:O8"/>
    <mergeCell ref="P8:S8"/>
    <mergeCell ref="T8:W8"/>
    <mergeCell ref="X8:AA8"/>
    <mergeCell ref="L7:O7"/>
    <mergeCell ref="P7:AA7"/>
    <mergeCell ref="L12:O12"/>
    <mergeCell ref="X10:AA10"/>
    <mergeCell ref="L10:O10"/>
    <mergeCell ref="P10:S10"/>
    <mergeCell ref="T10:W10"/>
    <mergeCell ref="X14:AA14"/>
    <mergeCell ref="P12:S12"/>
    <mergeCell ref="T12:W12"/>
    <mergeCell ref="X12:AA12"/>
    <mergeCell ref="AC5:AI13"/>
    <mergeCell ref="AC14:AI17"/>
    <mergeCell ref="AC2:AI4"/>
    <mergeCell ref="X16:AA16"/>
    <mergeCell ref="L20:O20"/>
    <mergeCell ref="P20:S20"/>
    <mergeCell ref="T20:W20"/>
    <mergeCell ref="X20:AA20"/>
    <mergeCell ref="P18:S18"/>
    <mergeCell ref="T18:W18"/>
    <mergeCell ref="X18:AA18"/>
    <mergeCell ref="L18:O18"/>
    <mergeCell ref="L16:O16"/>
    <mergeCell ref="P16:S16"/>
    <mergeCell ref="T16:W16"/>
    <mergeCell ref="L14:O14"/>
    <mergeCell ref="P14:S14"/>
    <mergeCell ref="T14:W14"/>
  </mergeCells>
  <pageMargins left="0.7" right="0.7" top="0.75" bottom="0.75" header="0.3" footer="0.3"/>
  <pageSetup paperSize="9" scale="9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M246"/>
  <sheetViews>
    <sheetView showRuler="0" topLeftCell="A110" zoomScale="65" zoomScaleNormal="65" zoomScaleSheetLayoutView="65" workbookViewId="0">
      <selection activeCell="CJ94" sqref="CJ94"/>
    </sheetView>
  </sheetViews>
  <sheetFormatPr defaultColWidth="8.7265625" defaultRowHeight="15.5" x14ac:dyDescent="0.35"/>
  <cols>
    <col min="1" max="1" width="1.1796875" style="1" customWidth="1"/>
    <col min="2" max="25" width="2.08984375" style="1" customWidth="1"/>
    <col min="26" max="26" width="0.90625" style="1" customWidth="1"/>
    <col min="27" max="30" width="2.08984375" style="1" customWidth="1"/>
    <col min="31" max="31" width="1.08984375" style="1" customWidth="1"/>
    <col min="32" max="34" width="2.08984375" style="1" customWidth="1"/>
    <col min="35" max="35" width="1.08984375" style="1" customWidth="1"/>
    <col min="36" max="50" width="2.08984375" style="1" customWidth="1"/>
    <col min="51" max="51" width="0.90625" style="1" customWidth="1"/>
    <col min="52" max="59" width="5.6328125" style="1" customWidth="1"/>
    <col min="60" max="60" width="1" style="1" customWidth="1"/>
    <col min="61" max="66" width="9.6328125" style="1" customWidth="1"/>
    <col min="67" max="74" width="2.08984375" style="1" customWidth="1"/>
    <col min="75" max="75" width="1" style="1" customWidth="1"/>
    <col min="76" max="85" width="2.1796875" style="1" customWidth="1"/>
    <col min="86" max="86" width="2.08984375" style="1" customWidth="1"/>
    <col min="87" max="87" width="1.36328125" style="1" customWidth="1"/>
    <col min="88" max="89" width="8.7265625" style="1"/>
    <col min="90" max="90" width="8.7265625" style="1" customWidth="1"/>
    <col min="91" max="16384" width="8.7265625" style="1"/>
  </cols>
  <sheetData>
    <row r="1" spans="2:91" ht="7.5" customHeight="1" x14ac:dyDescent="0.35"/>
    <row r="2" spans="2:91" ht="15.5" customHeight="1" x14ac:dyDescent="0.35">
      <c r="B2" s="121" t="s">
        <v>148</v>
      </c>
      <c r="C2" s="122"/>
      <c r="D2" s="122"/>
      <c r="E2" s="122"/>
      <c r="F2" s="123"/>
      <c r="G2" s="130"/>
      <c r="H2" s="130"/>
      <c r="I2" s="130"/>
      <c r="J2" s="130"/>
      <c r="K2" s="130"/>
      <c r="L2" s="130"/>
      <c r="M2" s="130"/>
      <c r="N2" s="130"/>
      <c r="O2" s="130"/>
      <c r="P2" s="130"/>
      <c r="Q2" s="130"/>
      <c r="R2" s="130"/>
      <c r="S2" s="50"/>
      <c r="T2" s="131" t="s">
        <v>150</v>
      </c>
      <c r="U2" s="132"/>
      <c r="V2" s="132"/>
      <c r="W2" s="132"/>
      <c r="X2" s="132"/>
      <c r="Y2" s="132"/>
      <c r="Z2" s="132"/>
      <c r="AA2" s="132"/>
      <c r="AB2" s="132"/>
      <c r="AC2" s="132"/>
      <c r="AD2" s="132"/>
      <c r="AE2" s="132"/>
      <c r="AF2" s="133"/>
      <c r="AG2" s="140"/>
      <c r="AH2" s="141"/>
      <c r="AI2" s="141"/>
      <c r="AJ2" s="141"/>
      <c r="AK2" s="141"/>
      <c r="AL2" s="141"/>
      <c r="AM2" s="141"/>
      <c r="AN2" s="142"/>
      <c r="AO2" s="64"/>
      <c r="AP2" s="131" t="s">
        <v>151</v>
      </c>
      <c r="AQ2" s="132"/>
      <c r="AR2" s="132"/>
      <c r="AS2" s="132"/>
      <c r="AT2" s="132"/>
      <c r="AU2" s="132"/>
      <c r="AV2" s="132"/>
      <c r="AW2" s="132"/>
      <c r="AX2" s="132"/>
      <c r="AY2" s="132"/>
      <c r="AZ2" s="132"/>
      <c r="BA2" s="140"/>
      <c r="BB2" s="141"/>
      <c r="BC2" s="142"/>
      <c r="BE2" s="149" t="s">
        <v>152</v>
      </c>
      <c r="BF2" s="150"/>
      <c r="BG2" s="150"/>
      <c r="BH2" s="150"/>
      <c r="BI2" s="151"/>
    </row>
    <row r="3" spans="2:91" ht="15.5" customHeight="1" x14ac:dyDescent="0.35">
      <c r="B3" s="124"/>
      <c r="C3" s="125"/>
      <c r="D3" s="125"/>
      <c r="E3" s="125"/>
      <c r="F3" s="126"/>
      <c r="G3" s="130"/>
      <c r="H3" s="130"/>
      <c r="I3" s="130"/>
      <c r="J3" s="130"/>
      <c r="K3" s="130"/>
      <c r="L3" s="130"/>
      <c r="M3" s="130"/>
      <c r="N3" s="130"/>
      <c r="O3" s="130"/>
      <c r="P3" s="130"/>
      <c r="Q3" s="130"/>
      <c r="R3" s="130"/>
      <c r="S3" s="50"/>
      <c r="T3" s="134"/>
      <c r="U3" s="135"/>
      <c r="V3" s="135"/>
      <c r="W3" s="135"/>
      <c r="X3" s="135"/>
      <c r="Y3" s="135"/>
      <c r="Z3" s="135"/>
      <c r="AA3" s="135"/>
      <c r="AB3" s="135"/>
      <c r="AC3" s="135"/>
      <c r="AD3" s="135"/>
      <c r="AE3" s="135"/>
      <c r="AF3" s="136"/>
      <c r="AG3" s="143"/>
      <c r="AH3" s="144"/>
      <c r="AI3" s="144"/>
      <c r="AJ3" s="144"/>
      <c r="AK3" s="144"/>
      <c r="AL3" s="144"/>
      <c r="AM3" s="144"/>
      <c r="AN3" s="145"/>
      <c r="AO3" s="64"/>
      <c r="AP3" s="134"/>
      <c r="AQ3" s="135"/>
      <c r="AR3" s="135"/>
      <c r="AS3" s="135"/>
      <c r="AT3" s="135"/>
      <c r="AU3" s="135"/>
      <c r="AV3" s="135"/>
      <c r="AW3" s="135"/>
      <c r="AX3" s="135"/>
      <c r="AY3" s="135"/>
      <c r="AZ3" s="135"/>
      <c r="BA3" s="143"/>
      <c r="BB3" s="144"/>
      <c r="BC3" s="145"/>
      <c r="BE3" s="152"/>
      <c r="BF3" s="153"/>
      <c r="BG3" s="153"/>
      <c r="BH3" s="153"/>
      <c r="BI3" s="154"/>
    </row>
    <row r="4" spans="2:91" ht="15.5" customHeight="1" x14ac:dyDescent="0.35">
      <c r="B4" s="127"/>
      <c r="C4" s="128"/>
      <c r="D4" s="128"/>
      <c r="E4" s="128"/>
      <c r="F4" s="129"/>
      <c r="G4" s="130"/>
      <c r="H4" s="130"/>
      <c r="I4" s="130"/>
      <c r="J4" s="130"/>
      <c r="K4" s="130"/>
      <c r="L4" s="130"/>
      <c r="M4" s="130"/>
      <c r="N4" s="130"/>
      <c r="O4" s="130"/>
      <c r="P4" s="130"/>
      <c r="Q4" s="130"/>
      <c r="R4" s="130"/>
      <c r="S4" s="50"/>
      <c r="T4" s="137"/>
      <c r="U4" s="138"/>
      <c r="V4" s="138"/>
      <c r="W4" s="138"/>
      <c r="X4" s="138"/>
      <c r="Y4" s="138"/>
      <c r="Z4" s="138"/>
      <c r="AA4" s="138"/>
      <c r="AB4" s="138"/>
      <c r="AC4" s="138"/>
      <c r="AD4" s="138"/>
      <c r="AE4" s="138"/>
      <c r="AF4" s="139"/>
      <c r="AG4" s="146"/>
      <c r="AH4" s="147"/>
      <c r="AI4" s="147"/>
      <c r="AJ4" s="147"/>
      <c r="AK4" s="147"/>
      <c r="AL4" s="147"/>
      <c r="AM4" s="147"/>
      <c r="AN4" s="148"/>
      <c r="AO4" s="64"/>
      <c r="AP4" s="137"/>
      <c r="AQ4" s="138"/>
      <c r="AR4" s="138"/>
      <c r="AS4" s="138"/>
      <c r="AT4" s="138"/>
      <c r="AU4" s="138"/>
      <c r="AV4" s="138"/>
      <c r="AW4" s="138"/>
      <c r="AX4" s="138"/>
      <c r="AY4" s="138"/>
      <c r="AZ4" s="138"/>
      <c r="BA4" s="146"/>
      <c r="BB4" s="147"/>
      <c r="BC4" s="148"/>
      <c r="BE4" s="155"/>
      <c r="BF4" s="156"/>
      <c r="BG4" s="156"/>
      <c r="BH4" s="156"/>
      <c r="BI4" s="157"/>
    </row>
    <row r="5" spans="2:91" ht="6.5" customHeight="1" x14ac:dyDescent="0.35"/>
    <row r="6" spans="2:91" ht="19.5" customHeight="1" x14ac:dyDescent="0.35">
      <c r="B6" s="149" t="s">
        <v>54</v>
      </c>
      <c r="C6" s="150"/>
      <c r="D6" s="150"/>
      <c r="E6" s="150"/>
      <c r="F6" s="151"/>
      <c r="G6" s="149" t="s">
        <v>147</v>
      </c>
      <c r="H6" s="150"/>
      <c r="I6" s="150"/>
      <c r="J6" s="150"/>
      <c r="K6" s="150"/>
      <c r="L6" s="150"/>
      <c r="M6" s="150"/>
      <c r="N6" s="150"/>
      <c r="O6" s="150"/>
      <c r="P6" s="150"/>
      <c r="Q6" s="150"/>
      <c r="R6" s="150"/>
      <c r="S6" s="150"/>
      <c r="T6" s="150"/>
      <c r="U6" s="150"/>
      <c r="V6" s="150"/>
      <c r="W6" s="150"/>
      <c r="X6" s="150"/>
      <c r="Y6" s="151"/>
      <c r="AA6" s="205" t="s">
        <v>161</v>
      </c>
      <c r="AB6" s="206"/>
      <c r="AC6" s="206"/>
      <c r="AD6" s="207"/>
      <c r="AF6" s="205" t="s">
        <v>162</v>
      </c>
      <c r="AG6" s="206"/>
      <c r="AH6" s="207"/>
      <c r="AJ6" s="162" t="s">
        <v>177</v>
      </c>
      <c r="AK6" s="162"/>
      <c r="AL6" s="162"/>
      <c r="AM6" s="162"/>
      <c r="AN6" s="162"/>
      <c r="AO6" s="162"/>
      <c r="AP6" s="162"/>
      <c r="AQ6" s="162"/>
      <c r="AR6" s="162"/>
      <c r="AS6" s="162"/>
      <c r="AT6" s="162"/>
      <c r="AU6" s="162"/>
      <c r="AV6" s="162"/>
      <c r="AW6" s="162"/>
      <c r="AX6" s="162"/>
      <c r="AZ6" s="115" t="s">
        <v>163</v>
      </c>
      <c r="BA6" s="116"/>
      <c r="BB6" s="116"/>
      <c r="BC6" s="116"/>
      <c r="BD6" s="116"/>
      <c r="BE6" s="116"/>
      <c r="BF6" s="116"/>
      <c r="BG6" s="117"/>
      <c r="BH6" s="9"/>
      <c r="BI6" s="115" t="s">
        <v>164</v>
      </c>
      <c r="BJ6" s="116"/>
      <c r="BK6" s="116"/>
      <c r="BL6" s="116"/>
      <c r="BM6" s="116"/>
      <c r="BN6" s="116"/>
      <c r="BO6" s="116"/>
      <c r="BP6" s="116"/>
      <c r="BQ6" s="116"/>
      <c r="BR6" s="116"/>
      <c r="BS6" s="116"/>
      <c r="BT6" s="116"/>
      <c r="BU6" s="116"/>
      <c r="BV6" s="117"/>
      <c r="BW6" s="9"/>
      <c r="BX6" s="205" t="s">
        <v>176</v>
      </c>
      <c r="BY6" s="206"/>
      <c r="BZ6" s="206"/>
      <c r="CA6" s="206"/>
      <c r="CB6" s="206"/>
      <c r="CC6" s="206"/>
      <c r="CD6" s="206"/>
      <c r="CE6" s="206"/>
      <c r="CF6" s="206"/>
      <c r="CG6" s="207"/>
    </row>
    <row r="7" spans="2:91" ht="16" customHeight="1" x14ac:dyDescent="0.35">
      <c r="B7" s="152"/>
      <c r="C7" s="153"/>
      <c r="D7" s="153"/>
      <c r="E7" s="153"/>
      <c r="F7" s="154"/>
      <c r="G7" s="152"/>
      <c r="H7" s="153"/>
      <c r="I7" s="153"/>
      <c r="J7" s="153"/>
      <c r="K7" s="153"/>
      <c r="L7" s="153"/>
      <c r="M7" s="153"/>
      <c r="N7" s="153"/>
      <c r="O7" s="153"/>
      <c r="P7" s="153"/>
      <c r="Q7" s="153"/>
      <c r="R7" s="153"/>
      <c r="S7" s="153"/>
      <c r="T7" s="153"/>
      <c r="U7" s="153"/>
      <c r="V7" s="153"/>
      <c r="W7" s="153"/>
      <c r="X7" s="153"/>
      <c r="Y7" s="154"/>
      <c r="AA7" s="152" t="s">
        <v>134</v>
      </c>
      <c r="AB7" s="153"/>
      <c r="AC7" s="153"/>
      <c r="AD7" s="154"/>
      <c r="AF7" s="152" t="s">
        <v>155</v>
      </c>
      <c r="AG7" s="153"/>
      <c r="AH7" s="154"/>
      <c r="AJ7" s="162"/>
      <c r="AK7" s="162"/>
      <c r="AL7" s="162"/>
      <c r="AM7" s="162"/>
      <c r="AN7" s="162"/>
      <c r="AO7" s="162"/>
      <c r="AP7" s="162"/>
      <c r="AQ7" s="162"/>
      <c r="AR7" s="162"/>
      <c r="AS7" s="162"/>
      <c r="AT7" s="162"/>
      <c r="AU7" s="162"/>
      <c r="AV7" s="162"/>
      <c r="AW7" s="162"/>
      <c r="AX7" s="162"/>
      <c r="AZ7" s="174" t="s">
        <v>55</v>
      </c>
      <c r="BA7" s="175"/>
      <c r="BB7" s="175"/>
      <c r="BC7" s="176"/>
      <c r="BD7" s="174" t="s">
        <v>56</v>
      </c>
      <c r="BE7" s="175"/>
      <c r="BF7" s="176"/>
      <c r="BG7" s="24" t="s">
        <v>48</v>
      </c>
      <c r="BH7" s="9"/>
      <c r="BI7" s="82" t="s">
        <v>67</v>
      </c>
      <c r="BJ7" s="83"/>
      <c r="BK7" s="83"/>
      <c r="BL7" s="83"/>
      <c r="BM7" s="83"/>
      <c r="BN7" s="83"/>
      <c r="BO7" s="83"/>
      <c r="BP7" s="83"/>
      <c r="BQ7" s="83"/>
      <c r="BR7" s="83"/>
      <c r="BS7" s="84"/>
      <c r="BT7" s="219" t="s">
        <v>175</v>
      </c>
      <c r="BU7" s="220"/>
      <c r="BV7" s="221"/>
      <c r="BW7" s="9"/>
      <c r="BX7" s="208"/>
      <c r="BY7" s="209"/>
      <c r="BZ7" s="209"/>
      <c r="CA7" s="209"/>
      <c r="CB7" s="209"/>
      <c r="CC7" s="209"/>
      <c r="CD7" s="209"/>
      <c r="CE7" s="209"/>
      <c r="CF7" s="209"/>
      <c r="CG7" s="210"/>
    </row>
    <row r="8" spans="2:91" ht="16" customHeight="1" x14ac:dyDescent="0.35">
      <c r="B8" s="152"/>
      <c r="C8" s="153"/>
      <c r="D8" s="153"/>
      <c r="E8" s="153"/>
      <c r="F8" s="154"/>
      <c r="G8" s="152"/>
      <c r="H8" s="153"/>
      <c r="I8" s="153"/>
      <c r="J8" s="153"/>
      <c r="K8" s="153"/>
      <c r="L8" s="153"/>
      <c r="M8" s="153"/>
      <c r="N8" s="153"/>
      <c r="O8" s="153"/>
      <c r="P8" s="153"/>
      <c r="Q8" s="153"/>
      <c r="R8" s="153"/>
      <c r="S8" s="153"/>
      <c r="T8" s="153"/>
      <c r="U8" s="153"/>
      <c r="V8" s="153"/>
      <c r="W8" s="153"/>
      <c r="X8" s="153"/>
      <c r="Y8" s="154"/>
      <c r="AA8" s="152"/>
      <c r="AB8" s="153"/>
      <c r="AC8" s="153"/>
      <c r="AD8" s="154"/>
      <c r="AF8" s="152"/>
      <c r="AG8" s="153"/>
      <c r="AH8" s="154"/>
      <c r="AJ8" s="163" t="s">
        <v>44</v>
      </c>
      <c r="AK8" s="163"/>
      <c r="AL8" s="163"/>
      <c r="AM8" s="163"/>
      <c r="AN8" s="163"/>
      <c r="AO8" s="163"/>
      <c r="AP8" s="163"/>
      <c r="AQ8" s="163"/>
      <c r="AR8" s="163"/>
      <c r="AS8" s="163"/>
      <c r="AT8" s="163"/>
      <c r="AU8" s="163"/>
      <c r="AV8" s="163"/>
      <c r="AW8" s="163"/>
      <c r="AX8" s="163"/>
      <c r="AZ8" s="63" t="s">
        <v>161</v>
      </c>
      <c r="BA8" s="63" t="s">
        <v>162</v>
      </c>
      <c r="BB8" s="63" t="s">
        <v>165</v>
      </c>
      <c r="BC8" s="63" t="s">
        <v>166</v>
      </c>
      <c r="BD8" s="63" t="s">
        <v>167</v>
      </c>
      <c r="BE8" s="63" t="s">
        <v>168</v>
      </c>
      <c r="BF8" s="63" t="s">
        <v>169</v>
      </c>
      <c r="BG8" s="63" t="s">
        <v>170</v>
      </c>
      <c r="BH8" s="9"/>
      <c r="BI8" s="167" t="s">
        <v>216</v>
      </c>
      <c r="BJ8" s="167" t="s">
        <v>171</v>
      </c>
      <c r="BK8" s="167" t="s">
        <v>215</v>
      </c>
      <c r="BL8" s="167" t="s">
        <v>172</v>
      </c>
      <c r="BM8" s="167" t="s">
        <v>217</v>
      </c>
      <c r="BN8" s="167" t="s">
        <v>173</v>
      </c>
      <c r="BO8" s="219" t="s">
        <v>174</v>
      </c>
      <c r="BP8" s="220"/>
      <c r="BQ8" s="220"/>
      <c r="BR8" s="220"/>
      <c r="BS8" s="221"/>
      <c r="BT8" s="225"/>
      <c r="BU8" s="226"/>
      <c r="BV8" s="227"/>
      <c r="BW8" s="9"/>
      <c r="BX8" s="211"/>
      <c r="BY8" s="212"/>
      <c r="BZ8" s="212"/>
      <c r="CA8" s="212"/>
      <c r="CB8" s="212"/>
      <c r="CC8" s="212"/>
      <c r="CD8" s="212"/>
      <c r="CE8" s="212"/>
      <c r="CF8" s="212"/>
      <c r="CG8" s="213"/>
    </row>
    <row r="9" spans="2:91" ht="30.5" customHeight="1" x14ac:dyDescent="0.35">
      <c r="B9" s="155"/>
      <c r="C9" s="156"/>
      <c r="D9" s="156"/>
      <c r="E9" s="156"/>
      <c r="F9" s="157"/>
      <c r="G9" s="155"/>
      <c r="H9" s="156"/>
      <c r="I9" s="156"/>
      <c r="J9" s="156"/>
      <c r="K9" s="156"/>
      <c r="L9" s="156"/>
      <c r="M9" s="156"/>
      <c r="N9" s="156"/>
      <c r="O9" s="156"/>
      <c r="P9" s="156"/>
      <c r="Q9" s="156"/>
      <c r="R9" s="156"/>
      <c r="S9" s="156"/>
      <c r="T9" s="156"/>
      <c r="U9" s="156"/>
      <c r="V9" s="156"/>
      <c r="W9" s="156"/>
      <c r="X9" s="156"/>
      <c r="Y9" s="157"/>
      <c r="AA9" s="155"/>
      <c r="AB9" s="156"/>
      <c r="AC9" s="156"/>
      <c r="AD9" s="157"/>
      <c r="AF9" s="155"/>
      <c r="AG9" s="156"/>
      <c r="AH9" s="157"/>
      <c r="AJ9" s="161">
        <v>2026</v>
      </c>
      <c r="AK9" s="161"/>
      <c r="AL9" s="161"/>
      <c r="AM9" s="161">
        <v>2027</v>
      </c>
      <c r="AN9" s="161"/>
      <c r="AO9" s="161"/>
      <c r="AP9" s="161">
        <v>2028</v>
      </c>
      <c r="AQ9" s="161"/>
      <c r="AR9" s="161"/>
      <c r="AS9" s="161">
        <v>2029</v>
      </c>
      <c r="AT9" s="161"/>
      <c r="AU9" s="161"/>
      <c r="AV9" s="161">
        <v>2030</v>
      </c>
      <c r="AW9" s="161"/>
      <c r="AX9" s="161"/>
      <c r="AZ9" s="24" t="s">
        <v>46</v>
      </c>
      <c r="BA9" s="24" t="s">
        <v>45</v>
      </c>
      <c r="BB9" s="24" t="s">
        <v>47</v>
      </c>
      <c r="BC9" s="24" t="s">
        <v>49</v>
      </c>
      <c r="BD9" s="24" t="s">
        <v>50</v>
      </c>
      <c r="BE9" s="24" t="s">
        <v>51</v>
      </c>
      <c r="BF9" s="24" t="s">
        <v>64</v>
      </c>
      <c r="BG9" s="24" t="s">
        <v>48</v>
      </c>
      <c r="BH9" s="9"/>
      <c r="BI9" s="167"/>
      <c r="BJ9" s="167"/>
      <c r="BK9" s="167"/>
      <c r="BL9" s="167"/>
      <c r="BM9" s="167"/>
      <c r="BN9" s="167"/>
      <c r="BO9" s="222"/>
      <c r="BP9" s="223"/>
      <c r="BQ9" s="223"/>
      <c r="BR9" s="223"/>
      <c r="BS9" s="224"/>
      <c r="BT9" s="222"/>
      <c r="BU9" s="223"/>
      <c r="BV9" s="224"/>
      <c r="BW9" s="9"/>
      <c r="BX9" s="200" t="s">
        <v>8</v>
      </c>
      <c r="BY9" s="200"/>
      <c r="BZ9" s="200" t="s">
        <v>9</v>
      </c>
      <c r="CA9" s="200"/>
      <c r="CB9" s="200" t="s">
        <v>10</v>
      </c>
      <c r="CC9" s="200"/>
      <c r="CD9" s="192" t="s">
        <v>11</v>
      </c>
      <c r="CE9" s="193"/>
      <c r="CF9" s="192" t="s">
        <v>19</v>
      </c>
      <c r="CG9" s="193"/>
    </row>
    <row r="10" spans="2:91" ht="4.5" customHeight="1" x14ac:dyDescent="0.35">
      <c r="BX10" s="2"/>
      <c r="BY10" s="2"/>
      <c r="BZ10" s="2"/>
      <c r="CA10" s="2"/>
      <c r="CB10" s="2"/>
      <c r="CC10" s="2"/>
      <c r="CD10" s="2"/>
      <c r="CE10" s="2"/>
      <c r="CF10" s="2"/>
      <c r="CG10" s="2"/>
    </row>
    <row r="11" spans="2:91" s="9" customFormat="1" ht="24" customHeight="1" x14ac:dyDescent="0.35">
      <c r="B11" s="194" t="s">
        <v>69</v>
      </c>
      <c r="C11" s="195"/>
      <c r="D11" s="195"/>
      <c r="E11" s="195"/>
      <c r="F11" s="196"/>
      <c r="G11" s="194" t="s">
        <v>68</v>
      </c>
      <c r="H11" s="195"/>
      <c r="I11" s="195"/>
      <c r="J11" s="195"/>
      <c r="K11" s="195"/>
      <c r="L11" s="195"/>
      <c r="M11" s="195"/>
      <c r="N11" s="195"/>
      <c r="O11" s="195"/>
      <c r="P11" s="195"/>
      <c r="Q11" s="195"/>
      <c r="R11" s="195"/>
      <c r="S11" s="195"/>
      <c r="T11" s="195"/>
      <c r="U11" s="195"/>
      <c r="V11" s="195"/>
      <c r="W11" s="195"/>
      <c r="X11" s="195"/>
      <c r="Y11" s="196"/>
      <c r="BX11" s="191"/>
      <c r="BY11" s="191"/>
      <c r="BZ11" s="191"/>
      <c r="CA11" s="191"/>
      <c r="CB11" s="191"/>
      <c r="CC11" s="191"/>
      <c r="CD11" s="191"/>
      <c r="CE11" s="191"/>
      <c r="CF11" s="191"/>
      <c r="CG11" s="191"/>
      <c r="CJ11" s="22"/>
      <c r="CK11" s="22"/>
      <c r="CL11" s="22"/>
      <c r="CM11" s="22"/>
    </row>
    <row r="12" spans="2:91" s="9" customFormat="1" ht="24" customHeight="1" x14ac:dyDescent="0.35">
      <c r="B12" s="109" t="s">
        <v>70</v>
      </c>
      <c r="C12" s="110"/>
      <c r="D12" s="110"/>
      <c r="E12" s="110"/>
      <c r="F12" s="111"/>
      <c r="G12" s="234" t="s">
        <v>185</v>
      </c>
      <c r="H12" s="235"/>
      <c r="I12" s="235"/>
      <c r="J12" s="235"/>
      <c r="K12" s="235"/>
      <c r="L12" s="235"/>
      <c r="M12" s="235"/>
      <c r="N12" s="235"/>
      <c r="O12" s="235"/>
      <c r="P12" s="235"/>
      <c r="Q12" s="235"/>
      <c r="R12" s="235"/>
      <c r="S12" s="235"/>
      <c r="T12" s="235"/>
      <c r="U12" s="235"/>
      <c r="V12" s="235"/>
      <c r="W12" s="235"/>
      <c r="X12" s="235"/>
      <c r="Y12" s="236"/>
      <c r="AA12" s="106"/>
      <c r="AB12" s="107"/>
      <c r="AC12" s="107"/>
      <c r="AD12" s="108"/>
      <c r="AF12" s="118">
        <v>0</v>
      </c>
      <c r="AG12" s="119"/>
      <c r="AH12" s="120"/>
      <c r="AJ12" s="197"/>
      <c r="AK12" s="198"/>
      <c r="AL12" s="199"/>
      <c r="AM12" s="197"/>
      <c r="AN12" s="198"/>
      <c r="AO12" s="199"/>
      <c r="AP12" s="112"/>
      <c r="AQ12" s="113"/>
      <c r="AR12" s="114"/>
      <c r="AS12" s="112"/>
      <c r="AT12" s="113"/>
      <c r="AU12" s="114"/>
      <c r="AV12" s="112"/>
      <c r="AW12" s="113"/>
      <c r="AX12" s="114"/>
      <c r="AZ12" s="59"/>
      <c r="BA12" s="25"/>
      <c r="BD12" s="25"/>
      <c r="BG12" s="25"/>
      <c r="BI12" s="32">
        <f>SUM(7*3000)</f>
        <v>21000</v>
      </c>
      <c r="BJ12" s="30"/>
      <c r="BK12" s="30"/>
      <c r="BL12" s="32">
        <f xml:space="preserve"> SUM(8*2*3000)</f>
        <v>48000</v>
      </c>
      <c r="BM12" s="30"/>
      <c r="BN12" s="36"/>
      <c r="BO12" s="171">
        <f>SUM(BI12+BJ12+BK12+BL12+BM12+BN12)</f>
        <v>69000</v>
      </c>
      <c r="BP12" s="172"/>
      <c r="BQ12" s="172"/>
      <c r="BR12" s="172"/>
      <c r="BS12" s="173"/>
      <c r="BT12" s="158">
        <f>SUM(100/BO121)*BO12</f>
        <v>0.26644527252717554</v>
      </c>
      <c r="BU12" s="159"/>
      <c r="BV12" s="160"/>
      <c r="BX12" s="106"/>
      <c r="BY12" s="108"/>
      <c r="BZ12" s="106"/>
      <c r="CA12" s="108"/>
      <c r="CB12" s="106"/>
      <c r="CC12" s="108"/>
      <c r="CD12" s="106"/>
      <c r="CE12" s="108"/>
      <c r="CF12" s="189">
        <f t="shared" ref="CF12:CF31" si="0">SUM(BX12+BZ12+CB12+CD12)</f>
        <v>0</v>
      </c>
      <c r="CG12" s="190"/>
      <c r="CJ12" s="22"/>
      <c r="CK12" s="22"/>
      <c r="CL12" s="22"/>
      <c r="CM12" s="22"/>
    </row>
    <row r="13" spans="2:91" s="9" customFormat="1" ht="24" customHeight="1" x14ac:dyDescent="0.35">
      <c r="B13" s="109" t="s">
        <v>71</v>
      </c>
      <c r="C13" s="110"/>
      <c r="D13" s="110"/>
      <c r="E13" s="110"/>
      <c r="F13" s="111"/>
      <c r="G13" s="234" t="s">
        <v>186</v>
      </c>
      <c r="H13" s="235"/>
      <c r="I13" s="235"/>
      <c r="J13" s="235"/>
      <c r="K13" s="235"/>
      <c r="L13" s="235"/>
      <c r="M13" s="235"/>
      <c r="N13" s="235"/>
      <c r="O13" s="235"/>
      <c r="P13" s="235"/>
      <c r="Q13" s="235"/>
      <c r="R13" s="235"/>
      <c r="S13" s="235"/>
      <c r="T13" s="235"/>
      <c r="U13" s="235"/>
      <c r="V13" s="235"/>
      <c r="W13" s="235"/>
      <c r="X13" s="235"/>
      <c r="Y13" s="236"/>
      <c r="AA13" s="106"/>
      <c r="AB13" s="107"/>
      <c r="AC13" s="107"/>
      <c r="AD13" s="108"/>
      <c r="AF13" s="118"/>
      <c r="AG13" s="119"/>
      <c r="AH13" s="120"/>
      <c r="AJ13" s="197"/>
      <c r="AK13" s="198"/>
      <c r="AL13" s="199"/>
      <c r="AM13" s="197"/>
      <c r="AN13" s="198"/>
      <c r="AO13" s="199"/>
      <c r="AP13" s="112"/>
      <c r="AQ13" s="113"/>
      <c r="AR13" s="114"/>
      <c r="AS13" s="112"/>
      <c r="AT13" s="113"/>
      <c r="AU13" s="114"/>
      <c r="AV13" s="112"/>
      <c r="AW13" s="113"/>
      <c r="AX13" s="114"/>
      <c r="AZ13" s="59"/>
      <c r="BA13" s="25"/>
      <c r="BC13" s="25"/>
      <c r="BD13" s="25"/>
      <c r="BG13" s="25"/>
      <c r="BI13" s="32">
        <f>SUM(1*5000)</f>
        <v>5000</v>
      </c>
      <c r="BJ13" s="30"/>
      <c r="BK13" s="30"/>
      <c r="BL13" s="32">
        <f xml:space="preserve"> SUM(1*2*3000)</f>
        <v>6000</v>
      </c>
      <c r="BM13" s="30"/>
      <c r="BN13" s="36"/>
      <c r="BO13" s="171">
        <f t="shared" ref="BO13:BO31" si="1">SUM(BI13+BJ13+BK13+BL13+BM13+BN13)</f>
        <v>11000</v>
      </c>
      <c r="BP13" s="172"/>
      <c r="BQ13" s="172"/>
      <c r="BR13" s="172"/>
      <c r="BS13" s="173"/>
      <c r="BT13" s="158">
        <f>SUM(100/BO121)*BO13</f>
        <v>4.2476782576796095E-2</v>
      </c>
      <c r="BU13" s="159"/>
      <c r="BV13" s="160"/>
      <c r="BX13" s="106"/>
      <c r="BY13" s="108"/>
      <c r="BZ13" s="106"/>
      <c r="CA13" s="108"/>
      <c r="CB13" s="106"/>
      <c r="CC13" s="108"/>
      <c r="CD13" s="106"/>
      <c r="CE13" s="108"/>
      <c r="CF13" s="189">
        <f t="shared" si="0"/>
        <v>0</v>
      </c>
      <c r="CG13" s="190"/>
      <c r="CJ13" s="23"/>
      <c r="CK13" s="23"/>
      <c r="CL13" s="23"/>
      <c r="CM13" s="23"/>
    </row>
    <row r="14" spans="2:91" s="9" customFormat="1" ht="24" customHeight="1" x14ac:dyDescent="0.35">
      <c r="B14" s="109" t="s">
        <v>72</v>
      </c>
      <c r="C14" s="110"/>
      <c r="D14" s="110"/>
      <c r="E14" s="110"/>
      <c r="F14" s="111"/>
      <c r="G14" s="234" t="s">
        <v>31</v>
      </c>
      <c r="H14" s="235"/>
      <c r="I14" s="235"/>
      <c r="J14" s="235"/>
      <c r="K14" s="235"/>
      <c r="L14" s="235"/>
      <c r="M14" s="235"/>
      <c r="N14" s="235"/>
      <c r="O14" s="235"/>
      <c r="P14" s="235"/>
      <c r="Q14" s="235"/>
      <c r="R14" s="235"/>
      <c r="S14" s="235"/>
      <c r="T14" s="235"/>
      <c r="U14" s="235"/>
      <c r="V14" s="235"/>
      <c r="W14" s="235"/>
      <c r="X14" s="235"/>
      <c r="Y14" s="236"/>
      <c r="AA14" s="106"/>
      <c r="AB14" s="107"/>
      <c r="AC14" s="107"/>
      <c r="AD14" s="108"/>
      <c r="AF14" s="118"/>
      <c r="AG14" s="119"/>
      <c r="AH14" s="120"/>
      <c r="AJ14" s="197"/>
      <c r="AK14" s="198"/>
      <c r="AL14" s="199"/>
      <c r="AM14" s="112"/>
      <c r="AN14" s="113"/>
      <c r="AO14" s="114"/>
      <c r="AP14" s="112"/>
      <c r="AQ14" s="113"/>
      <c r="AR14" s="114"/>
      <c r="AS14" s="197"/>
      <c r="AT14" s="198"/>
      <c r="AU14" s="199"/>
      <c r="AV14" s="112"/>
      <c r="AW14" s="113"/>
      <c r="AX14" s="114"/>
      <c r="AZ14" s="59"/>
      <c r="BA14" s="25"/>
      <c r="BD14" s="25"/>
      <c r="BE14" s="25"/>
      <c r="BF14" s="25"/>
      <c r="BG14" s="25"/>
      <c r="BI14" s="32">
        <f xml:space="preserve"> SUM(1*10000)</f>
        <v>10000</v>
      </c>
      <c r="BJ14" s="33">
        <f xml:space="preserve"> SUM(7*1000)</f>
        <v>7000</v>
      </c>
      <c r="BK14" s="39">
        <f xml:space="preserve"> SUM(8*3000)</f>
        <v>24000</v>
      </c>
      <c r="BL14" s="32">
        <f xml:space="preserve"> SUM(8*2*3000)</f>
        <v>48000</v>
      </c>
      <c r="BM14" s="32">
        <f xml:space="preserve"> SUM(8*2*25000)</f>
        <v>400000</v>
      </c>
      <c r="BN14" s="36"/>
      <c r="BO14" s="171">
        <f t="shared" si="1"/>
        <v>489000</v>
      </c>
      <c r="BP14" s="172"/>
      <c r="BQ14" s="172"/>
      <c r="BR14" s="172"/>
      <c r="BS14" s="173"/>
      <c r="BT14" s="158">
        <f>SUM(100/BO121)*BO14</f>
        <v>1.8882860618230264</v>
      </c>
      <c r="BU14" s="159"/>
      <c r="BV14" s="160"/>
      <c r="BX14" s="106"/>
      <c r="BY14" s="108"/>
      <c r="BZ14" s="106"/>
      <c r="CA14" s="108"/>
      <c r="CB14" s="106"/>
      <c r="CC14" s="108"/>
      <c r="CD14" s="106"/>
      <c r="CE14" s="108"/>
      <c r="CF14" s="189">
        <f t="shared" si="0"/>
        <v>0</v>
      </c>
      <c r="CG14" s="190"/>
      <c r="CJ14" s="23"/>
      <c r="CK14" s="23"/>
      <c r="CL14" s="23"/>
      <c r="CM14" s="23"/>
    </row>
    <row r="15" spans="2:91" s="9" customFormat="1" ht="24" customHeight="1" x14ac:dyDescent="0.35">
      <c r="B15" s="109" t="s">
        <v>73</v>
      </c>
      <c r="C15" s="110"/>
      <c r="D15" s="110"/>
      <c r="E15" s="110"/>
      <c r="F15" s="111"/>
      <c r="G15" s="234" t="s">
        <v>187</v>
      </c>
      <c r="H15" s="235"/>
      <c r="I15" s="235"/>
      <c r="J15" s="235"/>
      <c r="K15" s="235"/>
      <c r="L15" s="235"/>
      <c r="M15" s="235"/>
      <c r="N15" s="235"/>
      <c r="O15" s="235"/>
      <c r="P15" s="235"/>
      <c r="Q15" s="235"/>
      <c r="R15" s="235"/>
      <c r="S15" s="235"/>
      <c r="T15" s="235"/>
      <c r="U15" s="235"/>
      <c r="V15" s="235"/>
      <c r="W15" s="235"/>
      <c r="X15" s="235"/>
      <c r="Y15" s="236"/>
      <c r="AA15" s="106"/>
      <c r="AB15" s="107"/>
      <c r="AC15" s="107"/>
      <c r="AD15" s="108"/>
      <c r="AF15" s="118"/>
      <c r="AG15" s="119"/>
      <c r="AH15" s="120"/>
      <c r="AJ15" s="197"/>
      <c r="AK15" s="198"/>
      <c r="AL15" s="199"/>
      <c r="AM15" s="197"/>
      <c r="AN15" s="198"/>
      <c r="AO15" s="199"/>
      <c r="AP15" s="197"/>
      <c r="AQ15" s="198"/>
      <c r="AR15" s="199"/>
      <c r="AS15" s="197"/>
      <c r="AT15" s="198"/>
      <c r="AU15" s="199"/>
      <c r="AV15" s="197"/>
      <c r="AW15" s="198"/>
      <c r="AX15" s="199"/>
      <c r="AZ15" s="59"/>
      <c r="BA15" s="25"/>
      <c r="BC15" s="25"/>
      <c r="BD15" s="25"/>
      <c r="BG15" s="25"/>
      <c r="BI15" s="32">
        <f xml:space="preserve"> SUM(1*5000+7*2000)</f>
        <v>19000</v>
      </c>
      <c r="BJ15" s="59">
        <f>SUM(7*1000)</f>
        <v>7000</v>
      </c>
      <c r="BK15" s="32">
        <f>SUM(5*2*7*3000)+(5*2*7*10*1000)</f>
        <v>910000</v>
      </c>
      <c r="BL15" s="32">
        <f xml:space="preserve"> SUM(8*2*3000)</f>
        <v>48000</v>
      </c>
      <c r="BM15" s="32">
        <f xml:space="preserve"> SUM(7*5*1000)</f>
        <v>35000</v>
      </c>
      <c r="BN15" s="36"/>
      <c r="BO15" s="171">
        <f>SUM(BI15+BJ15+BK15+BL15+BM15+BN15)</f>
        <v>1019000</v>
      </c>
      <c r="BP15" s="172"/>
      <c r="BQ15" s="172"/>
      <c r="BR15" s="172"/>
      <c r="BS15" s="173"/>
      <c r="BT15" s="180">
        <f>SUM(100/BO121)*BO15</f>
        <v>3.9348946768868385</v>
      </c>
      <c r="BU15" s="181"/>
      <c r="BV15" s="182"/>
      <c r="BX15" s="106"/>
      <c r="BY15" s="108"/>
      <c r="BZ15" s="106"/>
      <c r="CA15" s="108"/>
      <c r="CB15" s="106"/>
      <c r="CC15" s="108"/>
      <c r="CD15" s="106"/>
      <c r="CE15" s="108"/>
      <c r="CF15" s="189">
        <f t="shared" si="0"/>
        <v>0</v>
      </c>
      <c r="CG15" s="190"/>
      <c r="CJ15" s="23"/>
      <c r="CK15" s="23"/>
      <c r="CL15" s="23"/>
      <c r="CM15" s="23"/>
    </row>
    <row r="16" spans="2:91" s="9" customFormat="1" ht="24" customHeight="1" x14ac:dyDescent="0.35">
      <c r="B16" s="109" t="s">
        <v>74</v>
      </c>
      <c r="C16" s="110"/>
      <c r="D16" s="110"/>
      <c r="E16" s="110"/>
      <c r="F16" s="111"/>
      <c r="G16" s="234" t="s">
        <v>188</v>
      </c>
      <c r="H16" s="235"/>
      <c r="I16" s="235"/>
      <c r="J16" s="235"/>
      <c r="K16" s="235"/>
      <c r="L16" s="235"/>
      <c r="M16" s="235"/>
      <c r="N16" s="235"/>
      <c r="O16" s="235"/>
      <c r="P16" s="235"/>
      <c r="Q16" s="235"/>
      <c r="R16" s="235"/>
      <c r="S16" s="235"/>
      <c r="T16" s="235"/>
      <c r="U16" s="235"/>
      <c r="V16" s="235"/>
      <c r="W16" s="235"/>
      <c r="X16" s="235"/>
      <c r="Y16" s="236"/>
      <c r="AA16" s="106"/>
      <c r="AB16" s="107"/>
      <c r="AC16" s="107"/>
      <c r="AD16" s="108"/>
      <c r="AF16" s="118"/>
      <c r="AG16" s="119"/>
      <c r="AH16" s="120"/>
      <c r="AJ16" s="197"/>
      <c r="AK16" s="198"/>
      <c r="AL16" s="199"/>
      <c r="AM16" s="197"/>
      <c r="AN16" s="198"/>
      <c r="AO16" s="199"/>
      <c r="AP16" s="197"/>
      <c r="AQ16" s="198"/>
      <c r="AR16" s="199"/>
      <c r="AS16" s="197"/>
      <c r="AT16" s="198"/>
      <c r="AU16" s="199"/>
      <c r="AV16" s="197"/>
      <c r="AW16" s="198"/>
      <c r="AX16" s="199"/>
      <c r="AZ16" s="25"/>
      <c r="BA16" s="25"/>
      <c r="BC16" s="25"/>
      <c r="BD16" s="25"/>
      <c r="BG16" s="25"/>
      <c r="BI16" s="32">
        <f xml:space="preserve"> SUM(1*5000)</f>
        <v>5000</v>
      </c>
      <c r="BJ16" s="59">
        <f>SUM(1*1000)</f>
        <v>1000</v>
      </c>
      <c r="BK16" s="32">
        <f>SUM(1*5*3000)+(5*10*5000)</f>
        <v>265000</v>
      </c>
      <c r="BL16" s="32">
        <f xml:space="preserve"> SUM(1*2*3000)</f>
        <v>6000</v>
      </c>
      <c r="BM16" s="32">
        <f xml:space="preserve"> SUM(7*5*1000)</f>
        <v>35000</v>
      </c>
      <c r="BN16" s="36"/>
      <c r="BO16" s="171">
        <f t="shared" si="1"/>
        <v>312000</v>
      </c>
      <c r="BP16" s="172"/>
      <c r="BQ16" s="172"/>
      <c r="BR16" s="172"/>
      <c r="BS16" s="173"/>
      <c r="BT16" s="158">
        <f>SUM(100/BO121)*BO16</f>
        <v>1.2047960149054893</v>
      </c>
      <c r="BU16" s="159"/>
      <c r="BV16" s="160"/>
      <c r="BX16" s="106"/>
      <c r="BY16" s="108"/>
      <c r="BZ16" s="106"/>
      <c r="CA16" s="108"/>
      <c r="CB16" s="106"/>
      <c r="CC16" s="108"/>
      <c r="CD16" s="106"/>
      <c r="CE16" s="108"/>
      <c r="CF16" s="189">
        <f t="shared" si="0"/>
        <v>0</v>
      </c>
      <c r="CG16" s="190"/>
    </row>
    <row r="17" spans="2:85" s="9" customFormat="1" ht="24" customHeight="1" x14ac:dyDescent="0.35">
      <c r="B17" s="109" t="s">
        <v>75</v>
      </c>
      <c r="C17" s="110"/>
      <c r="D17" s="110"/>
      <c r="E17" s="110"/>
      <c r="F17" s="111"/>
      <c r="G17" s="234" t="s">
        <v>213</v>
      </c>
      <c r="H17" s="235"/>
      <c r="I17" s="235"/>
      <c r="J17" s="235"/>
      <c r="K17" s="235"/>
      <c r="L17" s="235"/>
      <c r="M17" s="235"/>
      <c r="N17" s="235"/>
      <c r="O17" s="235"/>
      <c r="P17" s="235"/>
      <c r="Q17" s="235"/>
      <c r="R17" s="235"/>
      <c r="S17" s="235"/>
      <c r="T17" s="235"/>
      <c r="U17" s="235"/>
      <c r="V17" s="235"/>
      <c r="W17" s="235"/>
      <c r="X17" s="235"/>
      <c r="Y17" s="236"/>
      <c r="AA17" s="106"/>
      <c r="AB17" s="107"/>
      <c r="AC17" s="107"/>
      <c r="AD17" s="108"/>
      <c r="AF17" s="118"/>
      <c r="AG17" s="119"/>
      <c r="AH17" s="120"/>
      <c r="AJ17" s="197"/>
      <c r="AK17" s="198"/>
      <c r="AL17" s="199"/>
      <c r="AM17" s="197"/>
      <c r="AN17" s="198"/>
      <c r="AO17" s="199"/>
      <c r="AP17" s="112"/>
      <c r="AQ17" s="113"/>
      <c r="AR17" s="114"/>
      <c r="AS17" s="112"/>
      <c r="AT17" s="113"/>
      <c r="AU17" s="114"/>
      <c r="AV17" s="112"/>
      <c r="AW17" s="113"/>
      <c r="AX17" s="114"/>
      <c r="AZ17" s="59"/>
      <c r="BA17" s="25"/>
      <c r="BD17" s="25"/>
      <c r="BE17" s="25"/>
      <c r="BF17" s="25"/>
      <c r="BG17" s="25"/>
      <c r="BI17" s="32">
        <f>SUM(1*1000000)</f>
        <v>1000000</v>
      </c>
      <c r="BJ17" s="30"/>
      <c r="BK17" s="30"/>
      <c r="BL17" s="32">
        <f xml:space="preserve"> SUM(8*5*3000)</f>
        <v>120000</v>
      </c>
      <c r="BM17" s="32">
        <f xml:space="preserve"> SUM(5*10000)</f>
        <v>50000</v>
      </c>
      <c r="BN17" s="36"/>
      <c r="BO17" s="171">
        <f t="shared" si="1"/>
        <v>1170000</v>
      </c>
      <c r="BP17" s="172"/>
      <c r="BQ17" s="172"/>
      <c r="BR17" s="172"/>
      <c r="BS17" s="173"/>
      <c r="BT17" s="180">
        <f>SUM(100/BO121)*BO17</f>
        <v>4.5179850558955845</v>
      </c>
      <c r="BU17" s="181"/>
      <c r="BV17" s="182"/>
      <c r="BX17" s="106"/>
      <c r="BY17" s="108"/>
      <c r="BZ17" s="106"/>
      <c r="CA17" s="108"/>
      <c r="CB17" s="106"/>
      <c r="CC17" s="108"/>
      <c r="CD17" s="106"/>
      <c r="CE17" s="108"/>
      <c r="CF17" s="189">
        <f t="shared" si="0"/>
        <v>0</v>
      </c>
      <c r="CG17" s="190"/>
    </row>
    <row r="18" spans="2:85" s="9" customFormat="1" ht="24" customHeight="1" x14ac:dyDescent="0.35">
      <c r="B18" s="109" t="s">
        <v>76</v>
      </c>
      <c r="C18" s="110"/>
      <c r="D18" s="110"/>
      <c r="E18" s="110"/>
      <c r="F18" s="111"/>
      <c r="G18" s="234" t="s">
        <v>189</v>
      </c>
      <c r="H18" s="235"/>
      <c r="I18" s="235"/>
      <c r="J18" s="235"/>
      <c r="K18" s="235"/>
      <c r="L18" s="235"/>
      <c r="M18" s="235"/>
      <c r="N18" s="235"/>
      <c r="O18" s="235"/>
      <c r="P18" s="235"/>
      <c r="Q18" s="235"/>
      <c r="R18" s="235"/>
      <c r="S18" s="235"/>
      <c r="T18" s="235"/>
      <c r="U18" s="235"/>
      <c r="V18" s="235"/>
      <c r="W18" s="235"/>
      <c r="X18" s="235"/>
      <c r="Y18" s="236"/>
      <c r="AA18" s="106"/>
      <c r="AB18" s="107"/>
      <c r="AC18" s="107"/>
      <c r="AD18" s="108"/>
      <c r="AF18" s="118"/>
      <c r="AG18" s="119"/>
      <c r="AH18" s="120"/>
      <c r="AJ18" s="197"/>
      <c r="AK18" s="198"/>
      <c r="AL18" s="199"/>
      <c r="AM18" s="197"/>
      <c r="AN18" s="198"/>
      <c r="AO18" s="199"/>
      <c r="AP18" s="112"/>
      <c r="AQ18" s="113"/>
      <c r="AR18" s="114"/>
      <c r="AS18" s="112"/>
      <c r="AT18" s="113"/>
      <c r="AU18" s="114"/>
      <c r="AV18" s="112"/>
      <c r="AW18" s="113"/>
      <c r="AX18" s="114"/>
      <c r="AZ18" s="59"/>
      <c r="BA18" s="25"/>
      <c r="BC18" s="25"/>
      <c r="BD18" s="25"/>
      <c r="BE18" s="25"/>
      <c r="BG18" s="25"/>
      <c r="BI18" s="32">
        <f>SUM(5000)</f>
        <v>5000</v>
      </c>
      <c r="BJ18" s="33">
        <f xml:space="preserve"> SUM(7*1000)</f>
        <v>7000</v>
      </c>
      <c r="BK18" s="30"/>
      <c r="BL18" s="32">
        <f t="shared" ref="BL18:BL32" si="2" xml:space="preserve"> SUM(8*2*3000)</f>
        <v>48000</v>
      </c>
      <c r="BM18" s="30"/>
      <c r="BN18" s="36"/>
      <c r="BO18" s="171">
        <f t="shared" si="1"/>
        <v>60000</v>
      </c>
      <c r="BP18" s="172"/>
      <c r="BQ18" s="172"/>
      <c r="BR18" s="172"/>
      <c r="BS18" s="173"/>
      <c r="BT18" s="158">
        <f>SUM(100/BO121)*BO18</f>
        <v>0.2316915413279787</v>
      </c>
      <c r="BU18" s="159"/>
      <c r="BV18" s="160"/>
      <c r="BX18" s="106"/>
      <c r="BY18" s="108"/>
      <c r="BZ18" s="106"/>
      <c r="CA18" s="108"/>
      <c r="CB18" s="106"/>
      <c r="CC18" s="108"/>
      <c r="CD18" s="106"/>
      <c r="CE18" s="108"/>
      <c r="CF18" s="189">
        <f t="shared" si="0"/>
        <v>0</v>
      </c>
      <c r="CG18" s="190"/>
    </row>
    <row r="19" spans="2:85" s="9" customFormat="1" ht="24" customHeight="1" x14ac:dyDescent="0.35">
      <c r="B19" s="109" t="s">
        <v>77</v>
      </c>
      <c r="C19" s="110"/>
      <c r="D19" s="110"/>
      <c r="E19" s="110"/>
      <c r="F19" s="111"/>
      <c r="G19" s="234" t="s">
        <v>32</v>
      </c>
      <c r="H19" s="235"/>
      <c r="I19" s="235"/>
      <c r="J19" s="235"/>
      <c r="K19" s="235"/>
      <c r="L19" s="235"/>
      <c r="M19" s="235"/>
      <c r="N19" s="235"/>
      <c r="O19" s="235"/>
      <c r="P19" s="235"/>
      <c r="Q19" s="235"/>
      <c r="R19" s="235"/>
      <c r="S19" s="235"/>
      <c r="T19" s="235"/>
      <c r="U19" s="235"/>
      <c r="V19" s="235"/>
      <c r="W19" s="235"/>
      <c r="X19" s="235"/>
      <c r="Y19" s="236"/>
      <c r="AA19" s="106"/>
      <c r="AB19" s="107"/>
      <c r="AC19" s="107"/>
      <c r="AD19" s="108"/>
      <c r="AF19" s="118"/>
      <c r="AG19" s="119"/>
      <c r="AH19" s="120"/>
      <c r="AJ19" s="197"/>
      <c r="AK19" s="198"/>
      <c r="AL19" s="199"/>
      <c r="AM19" s="112"/>
      <c r="AN19" s="113"/>
      <c r="AO19" s="114"/>
      <c r="AP19" s="112"/>
      <c r="AQ19" s="113"/>
      <c r="AR19" s="114"/>
      <c r="AS19" s="112"/>
      <c r="AT19" s="113"/>
      <c r="AU19" s="114"/>
      <c r="AV19" s="112"/>
      <c r="AW19" s="113"/>
      <c r="AX19" s="114"/>
      <c r="AZ19" s="59"/>
      <c r="BA19" s="25"/>
      <c r="BD19" s="25"/>
      <c r="BE19" s="25"/>
      <c r="BF19" s="25"/>
      <c r="BG19" s="25"/>
      <c r="BI19" s="32">
        <f>SUM(5000)</f>
        <v>5000</v>
      </c>
      <c r="BJ19" s="30"/>
      <c r="BK19" s="30"/>
      <c r="BL19" s="32">
        <f t="shared" si="2"/>
        <v>48000</v>
      </c>
      <c r="BM19" s="32">
        <f xml:space="preserve"> SUM(8*2*1000)+(8*5*100)</f>
        <v>20000</v>
      </c>
      <c r="BN19" s="36"/>
      <c r="BO19" s="171">
        <f t="shared" si="1"/>
        <v>73000</v>
      </c>
      <c r="BP19" s="172"/>
      <c r="BQ19" s="172"/>
      <c r="BR19" s="172"/>
      <c r="BS19" s="173"/>
      <c r="BT19" s="158">
        <f>SUM(100/BO121)*BO19</f>
        <v>0.28189137528237407</v>
      </c>
      <c r="BU19" s="159"/>
      <c r="BV19" s="160"/>
      <c r="BX19" s="106"/>
      <c r="BY19" s="108"/>
      <c r="BZ19" s="106"/>
      <c r="CA19" s="108"/>
      <c r="CB19" s="106"/>
      <c r="CC19" s="108"/>
      <c r="CD19" s="106"/>
      <c r="CE19" s="108"/>
      <c r="CF19" s="189">
        <f t="shared" si="0"/>
        <v>0</v>
      </c>
      <c r="CG19" s="190"/>
    </row>
    <row r="20" spans="2:85" s="9" customFormat="1" ht="24" customHeight="1" x14ac:dyDescent="0.35">
      <c r="B20" s="109" t="s">
        <v>78</v>
      </c>
      <c r="C20" s="110"/>
      <c r="D20" s="110"/>
      <c r="E20" s="110"/>
      <c r="F20" s="111"/>
      <c r="G20" s="234" t="s">
        <v>42</v>
      </c>
      <c r="H20" s="235"/>
      <c r="I20" s="235"/>
      <c r="J20" s="235"/>
      <c r="K20" s="235"/>
      <c r="L20" s="235"/>
      <c r="M20" s="235"/>
      <c r="N20" s="235"/>
      <c r="O20" s="235"/>
      <c r="P20" s="235"/>
      <c r="Q20" s="235"/>
      <c r="R20" s="235"/>
      <c r="S20" s="235"/>
      <c r="T20" s="235"/>
      <c r="U20" s="235"/>
      <c r="V20" s="235"/>
      <c r="W20" s="235"/>
      <c r="X20" s="235"/>
      <c r="Y20" s="236"/>
      <c r="AA20" s="106"/>
      <c r="AB20" s="107"/>
      <c r="AC20" s="107"/>
      <c r="AD20" s="108"/>
      <c r="AF20" s="118"/>
      <c r="AG20" s="119"/>
      <c r="AH20" s="120"/>
      <c r="AJ20" s="197"/>
      <c r="AK20" s="198"/>
      <c r="AL20" s="199"/>
      <c r="AM20" s="112"/>
      <c r="AN20" s="113"/>
      <c r="AO20" s="114"/>
      <c r="AP20" s="112"/>
      <c r="AQ20" s="113"/>
      <c r="AR20" s="114"/>
      <c r="AS20" s="112"/>
      <c r="AT20" s="113"/>
      <c r="AU20" s="114"/>
      <c r="AV20" s="112"/>
      <c r="AW20" s="113"/>
      <c r="AX20" s="114"/>
      <c r="AZ20" s="59"/>
      <c r="BA20" s="25"/>
      <c r="BC20" s="25"/>
      <c r="BD20" s="25"/>
      <c r="BI20" s="33">
        <f>SUM(3000)</f>
        <v>3000</v>
      </c>
      <c r="BJ20" s="59">
        <f>SUM(7*1000)</f>
        <v>7000</v>
      </c>
      <c r="BK20" s="30"/>
      <c r="BL20" s="32">
        <f t="shared" si="2"/>
        <v>48000</v>
      </c>
      <c r="BM20" s="30"/>
      <c r="BN20" s="36"/>
      <c r="BO20" s="171">
        <f t="shared" si="1"/>
        <v>58000</v>
      </c>
      <c r="BP20" s="172"/>
      <c r="BQ20" s="172"/>
      <c r="BR20" s="172"/>
      <c r="BS20" s="173"/>
      <c r="BT20" s="158">
        <f>SUM(100/BO121)*BO20</f>
        <v>0.22396848995037941</v>
      </c>
      <c r="BU20" s="159"/>
      <c r="BV20" s="160"/>
      <c r="BX20" s="106"/>
      <c r="BY20" s="108"/>
      <c r="BZ20" s="106"/>
      <c r="CA20" s="108"/>
      <c r="CB20" s="106"/>
      <c r="CC20" s="108"/>
      <c r="CD20" s="106"/>
      <c r="CE20" s="108"/>
      <c r="CF20" s="189">
        <f t="shared" si="0"/>
        <v>0</v>
      </c>
      <c r="CG20" s="190"/>
    </row>
    <row r="21" spans="2:85" s="9" customFormat="1" ht="24" customHeight="1" x14ac:dyDescent="0.35">
      <c r="B21" s="109" t="s">
        <v>79</v>
      </c>
      <c r="C21" s="110"/>
      <c r="D21" s="110"/>
      <c r="E21" s="110"/>
      <c r="F21" s="111"/>
      <c r="G21" s="234" t="s">
        <v>33</v>
      </c>
      <c r="H21" s="235"/>
      <c r="I21" s="235"/>
      <c r="J21" s="235"/>
      <c r="K21" s="235"/>
      <c r="L21" s="235"/>
      <c r="M21" s="235"/>
      <c r="N21" s="235"/>
      <c r="O21" s="235"/>
      <c r="P21" s="235"/>
      <c r="Q21" s="235"/>
      <c r="R21" s="235"/>
      <c r="S21" s="235"/>
      <c r="T21" s="235"/>
      <c r="U21" s="235"/>
      <c r="V21" s="235"/>
      <c r="W21" s="235"/>
      <c r="X21" s="235"/>
      <c r="Y21" s="236"/>
      <c r="AA21" s="106"/>
      <c r="AB21" s="107"/>
      <c r="AC21" s="107"/>
      <c r="AD21" s="108"/>
      <c r="AF21" s="118"/>
      <c r="AG21" s="119"/>
      <c r="AH21" s="120"/>
      <c r="AJ21" s="197"/>
      <c r="AK21" s="198"/>
      <c r="AL21" s="199"/>
      <c r="AM21" s="112"/>
      <c r="AN21" s="113"/>
      <c r="AO21" s="114"/>
      <c r="AP21" s="112"/>
      <c r="AQ21" s="113"/>
      <c r="AR21" s="114"/>
      <c r="AS21" s="112"/>
      <c r="AT21" s="113"/>
      <c r="AU21" s="114"/>
      <c r="AV21" s="197"/>
      <c r="AW21" s="198"/>
      <c r="AX21" s="199"/>
      <c r="AZ21" s="59"/>
      <c r="BA21" s="25"/>
      <c r="BD21" s="25"/>
      <c r="BE21" s="25"/>
      <c r="BF21" s="25"/>
      <c r="BG21" s="25"/>
      <c r="BI21" s="32">
        <f>SUM(1*5000)</f>
        <v>5000</v>
      </c>
      <c r="BJ21" s="30"/>
      <c r="BK21" s="32">
        <f>SUM(7*2*3000)</f>
        <v>42000</v>
      </c>
      <c r="BL21" s="32">
        <f t="shared" si="2"/>
        <v>48000</v>
      </c>
      <c r="BM21" s="32">
        <f xml:space="preserve"> SUM(2*8*10000)</f>
        <v>160000</v>
      </c>
      <c r="BN21" s="36"/>
      <c r="BO21" s="171">
        <f t="shared" si="1"/>
        <v>255000</v>
      </c>
      <c r="BP21" s="172"/>
      <c r="BQ21" s="172"/>
      <c r="BR21" s="172"/>
      <c r="BS21" s="173"/>
      <c r="BT21" s="158">
        <f>SUM(100/BO121)*BO21</f>
        <v>0.98468905064390955</v>
      </c>
      <c r="BU21" s="159"/>
      <c r="BV21" s="160"/>
      <c r="BX21" s="106"/>
      <c r="BY21" s="108"/>
      <c r="BZ21" s="106"/>
      <c r="CA21" s="108"/>
      <c r="CB21" s="106"/>
      <c r="CC21" s="108"/>
      <c r="CD21" s="106"/>
      <c r="CE21" s="108"/>
      <c r="CF21" s="189">
        <f t="shared" si="0"/>
        <v>0</v>
      </c>
      <c r="CG21" s="190"/>
    </row>
    <row r="22" spans="2:85" s="9" customFormat="1" ht="24" customHeight="1" x14ac:dyDescent="0.35">
      <c r="B22" s="109" t="s">
        <v>80</v>
      </c>
      <c r="C22" s="110"/>
      <c r="D22" s="110"/>
      <c r="E22" s="110"/>
      <c r="F22" s="111"/>
      <c r="G22" s="234" t="s">
        <v>190</v>
      </c>
      <c r="H22" s="235"/>
      <c r="I22" s="235"/>
      <c r="J22" s="235"/>
      <c r="K22" s="235"/>
      <c r="L22" s="235"/>
      <c r="M22" s="235"/>
      <c r="N22" s="235"/>
      <c r="O22" s="235"/>
      <c r="P22" s="235"/>
      <c r="Q22" s="235"/>
      <c r="R22" s="235"/>
      <c r="S22" s="235"/>
      <c r="T22" s="235"/>
      <c r="U22" s="235"/>
      <c r="V22" s="235"/>
      <c r="W22" s="235"/>
      <c r="X22" s="235"/>
      <c r="Y22" s="236"/>
      <c r="AA22" s="106"/>
      <c r="AB22" s="107"/>
      <c r="AC22" s="107"/>
      <c r="AD22" s="108"/>
      <c r="AF22" s="118"/>
      <c r="AG22" s="119"/>
      <c r="AH22" s="120"/>
      <c r="AJ22" s="197"/>
      <c r="AK22" s="198"/>
      <c r="AL22" s="199"/>
      <c r="AM22" s="197"/>
      <c r="AN22" s="198"/>
      <c r="AO22" s="199"/>
      <c r="AP22" s="112"/>
      <c r="AQ22" s="113"/>
      <c r="AR22" s="114"/>
      <c r="AS22" s="112"/>
      <c r="AT22" s="113"/>
      <c r="AU22" s="114"/>
      <c r="AV22" s="112"/>
      <c r="AW22" s="113"/>
      <c r="AX22" s="114"/>
      <c r="AZ22" s="59"/>
      <c r="BA22" s="25"/>
      <c r="BC22" s="25"/>
      <c r="BD22" s="25"/>
      <c r="BG22" s="25"/>
      <c r="BI22" s="32">
        <f>SUM(1*3000+7*3000)</f>
        <v>24000</v>
      </c>
      <c r="BJ22" s="59">
        <f>SUM(7*1000)</f>
        <v>7000</v>
      </c>
      <c r="BK22" s="30"/>
      <c r="BL22" s="32">
        <f t="shared" si="2"/>
        <v>48000</v>
      </c>
      <c r="BM22" s="32">
        <f xml:space="preserve"> SUM(8*2*1000)</f>
        <v>16000</v>
      </c>
      <c r="BN22" s="36"/>
      <c r="BO22" s="171">
        <f t="shared" si="1"/>
        <v>95000</v>
      </c>
      <c r="BP22" s="172"/>
      <c r="BQ22" s="172"/>
      <c r="BR22" s="172"/>
      <c r="BS22" s="173"/>
      <c r="BT22" s="158">
        <f>SUM(100/BO121)*BO22</f>
        <v>0.36684494043596627</v>
      </c>
      <c r="BU22" s="159"/>
      <c r="BV22" s="160"/>
      <c r="BX22" s="106"/>
      <c r="BY22" s="108"/>
      <c r="BZ22" s="106"/>
      <c r="CA22" s="108"/>
      <c r="CB22" s="106"/>
      <c r="CC22" s="108"/>
      <c r="CD22" s="106"/>
      <c r="CE22" s="108"/>
      <c r="CF22" s="189">
        <f t="shared" si="0"/>
        <v>0</v>
      </c>
      <c r="CG22" s="190"/>
    </row>
    <row r="23" spans="2:85" s="9" customFormat="1" ht="24" customHeight="1" x14ac:dyDescent="0.35">
      <c r="B23" s="109" t="s">
        <v>81</v>
      </c>
      <c r="C23" s="110"/>
      <c r="D23" s="110"/>
      <c r="E23" s="110"/>
      <c r="F23" s="111"/>
      <c r="G23" s="234" t="s">
        <v>34</v>
      </c>
      <c r="H23" s="235"/>
      <c r="I23" s="235"/>
      <c r="J23" s="235"/>
      <c r="K23" s="235"/>
      <c r="L23" s="235"/>
      <c r="M23" s="235"/>
      <c r="N23" s="235"/>
      <c r="O23" s="235"/>
      <c r="P23" s="235"/>
      <c r="Q23" s="235"/>
      <c r="R23" s="235"/>
      <c r="S23" s="235"/>
      <c r="T23" s="235"/>
      <c r="U23" s="235"/>
      <c r="V23" s="235"/>
      <c r="W23" s="235"/>
      <c r="X23" s="235"/>
      <c r="Y23" s="236"/>
      <c r="AA23" s="106"/>
      <c r="AB23" s="107"/>
      <c r="AC23" s="107"/>
      <c r="AD23" s="108"/>
      <c r="AF23" s="118"/>
      <c r="AG23" s="119"/>
      <c r="AH23" s="120"/>
      <c r="AJ23" s="197"/>
      <c r="AK23" s="198"/>
      <c r="AL23" s="199"/>
      <c r="AM23" s="112"/>
      <c r="AN23" s="113"/>
      <c r="AO23" s="114"/>
      <c r="AP23" s="112"/>
      <c r="AQ23" s="113"/>
      <c r="AR23" s="114"/>
      <c r="AS23" s="112"/>
      <c r="AT23" s="113"/>
      <c r="AU23" s="114"/>
      <c r="AV23" s="197"/>
      <c r="AW23" s="198"/>
      <c r="AX23" s="199"/>
      <c r="AZ23" s="59"/>
      <c r="BA23" s="25"/>
      <c r="BD23" s="25"/>
      <c r="BG23" s="25"/>
      <c r="BI23" s="32">
        <f>SUM(3000)</f>
        <v>3000</v>
      </c>
      <c r="BJ23" s="59">
        <f>SUM(7*1000)</f>
        <v>7000</v>
      </c>
      <c r="BK23" s="32">
        <f>SUM(7*2*3000)</f>
        <v>42000</v>
      </c>
      <c r="BL23" s="32">
        <f t="shared" si="2"/>
        <v>48000</v>
      </c>
      <c r="BM23" s="32">
        <f xml:space="preserve"> SUM(8*2*1000)</f>
        <v>16000</v>
      </c>
      <c r="BN23" s="36"/>
      <c r="BO23" s="171">
        <f t="shared" si="1"/>
        <v>116000</v>
      </c>
      <c r="BP23" s="172"/>
      <c r="BQ23" s="172"/>
      <c r="BR23" s="172"/>
      <c r="BS23" s="173"/>
      <c r="BT23" s="158">
        <f>SUM(100/BO121)*BO23</f>
        <v>0.44793697990075881</v>
      </c>
      <c r="BU23" s="159"/>
      <c r="BV23" s="160"/>
      <c r="BX23" s="106"/>
      <c r="BY23" s="108"/>
      <c r="BZ23" s="106"/>
      <c r="CA23" s="108"/>
      <c r="CB23" s="106"/>
      <c r="CC23" s="108"/>
      <c r="CD23" s="106"/>
      <c r="CE23" s="108"/>
      <c r="CF23" s="189">
        <f t="shared" si="0"/>
        <v>0</v>
      </c>
      <c r="CG23" s="190"/>
    </row>
    <row r="24" spans="2:85" s="9" customFormat="1" ht="24" customHeight="1" x14ac:dyDescent="0.35">
      <c r="B24" s="109" t="s">
        <v>82</v>
      </c>
      <c r="C24" s="110"/>
      <c r="D24" s="110"/>
      <c r="E24" s="110"/>
      <c r="F24" s="111"/>
      <c r="G24" s="234" t="s">
        <v>35</v>
      </c>
      <c r="H24" s="235"/>
      <c r="I24" s="235"/>
      <c r="J24" s="235"/>
      <c r="K24" s="235"/>
      <c r="L24" s="235"/>
      <c r="M24" s="235"/>
      <c r="N24" s="235"/>
      <c r="O24" s="235"/>
      <c r="P24" s="235"/>
      <c r="Q24" s="235"/>
      <c r="R24" s="235"/>
      <c r="S24" s="235"/>
      <c r="T24" s="235"/>
      <c r="U24" s="235"/>
      <c r="V24" s="235"/>
      <c r="W24" s="235"/>
      <c r="X24" s="235"/>
      <c r="Y24" s="236"/>
      <c r="AA24" s="106"/>
      <c r="AB24" s="107"/>
      <c r="AC24" s="107"/>
      <c r="AD24" s="108"/>
      <c r="AF24" s="118"/>
      <c r="AG24" s="119"/>
      <c r="AH24" s="120"/>
      <c r="AJ24" s="197"/>
      <c r="AK24" s="198"/>
      <c r="AL24" s="199"/>
      <c r="AM24" s="112"/>
      <c r="AN24" s="113"/>
      <c r="AO24" s="114"/>
      <c r="AP24" s="112"/>
      <c r="AQ24" s="113"/>
      <c r="AR24" s="114"/>
      <c r="AS24" s="112"/>
      <c r="AT24" s="113"/>
      <c r="AU24" s="114"/>
      <c r="AV24" s="197"/>
      <c r="AW24" s="198"/>
      <c r="AX24" s="199"/>
      <c r="AZ24" s="59"/>
      <c r="BA24" s="25"/>
      <c r="BD24" s="25"/>
      <c r="BE24" s="25"/>
      <c r="BF24" s="25"/>
      <c r="BG24" s="25"/>
      <c r="BI24" s="32">
        <f>SUM(3000)</f>
        <v>3000</v>
      </c>
      <c r="BJ24" s="59">
        <f>SUM(7*1000)</f>
        <v>7000</v>
      </c>
      <c r="BK24" s="30"/>
      <c r="BL24" s="32">
        <f t="shared" si="2"/>
        <v>48000</v>
      </c>
      <c r="BM24" s="32">
        <f>SUM(8*100000)</f>
        <v>800000</v>
      </c>
      <c r="BN24" s="36"/>
      <c r="BO24" s="171">
        <f t="shared" si="1"/>
        <v>858000</v>
      </c>
      <c r="BP24" s="172"/>
      <c r="BQ24" s="172"/>
      <c r="BR24" s="172"/>
      <c r="BS24" s="173"/>
      <c r="BT24" s="180">
        <f>SUM(100/BO121)*BO24</f>
        <v>3.3131890409900953</v>
      </c>
      <c r="BU24" s="181"/>
      <c r="BV24" s="182"/>
      <c r="BX24" s="106"/>
      <c r="BY24" s="108"/>
      <c r="BZ24" s="106"/>
      <c r="CA24" s="108"/>
      <c r="CB24" s="106"/>
      <c r="CC24" s="108"/>
      <c r="CD24" s="106"/>
      <c r="CE24" s="108"/>
      <c r="CF24" s="189">
        <f t="shared" si="0"/>
        <v>0</v>
      </c>
      <c r="CG24" s="190"/>
    </row>
    <row r="25" spans="2:85" s="9" customFormat="1" ht="24" customHeight="1" x14ac:dyDescent="0.35">
      <c r="B25" s="109" t="s">
        <v>83</v>
      </c>
      <c r="C25" s="110"/>
      <c r="D25" s="110"/>
      <c r="E25" s="110"/>
      <c r="F25" s="111"/>
      <c r="G25" s="234" t="s">
        <v>43</v>
      </c>
      <c r="H25" s="235"/>
      <c r="I25" s="235"/>
      <c r="J25" s="235"/>
      <c r="K25" s="235"/>
      <c r="L25" s="235"/>
      <c r="M25" s="235"/>
      <c r="N25" s="235"/>
      <c r="O25" s="235"/>
      <c r="P25" s="235"/>
      <c r="Q25" s="235"/>
      <c r="R25" s="235"/>
      <c r="S25" s="235"/>
      <c r="T25" s="235"/>
      <c r="U25" s="235"/>
      <c r="V25" s="235"/>
      <c r="W25" s="235"/>
      <c r="X25" s="235"/>
      <c r="Y25" s="236"/>
      <c r="AA25" s="106"/>
      <c r="AB25" s="107"/>
      <c r="AC25" s="107"/>
      <c r="AD25" s="108"/>
      <c r="AF25" s="118"/>
      <c r="AG25" s="119"/>
      <c r="AH25" s="120"/>
      <c r="AJ25" s="197"/>
      <c r="AK25" s="198"/>
      <c r="AL25" s="199"/>
      <c r="AM25" s="112"/>
      <c r="AN25" s="113"/>
      <c r="AO25" s="114"/>
      <c r="AP25" s="112"/>
      <c r="AQ25" s="113"/>
      <c r="AR25" s="114"/>
      <c r="AS25" s="112"/>
      <c r="AT25" s="113"/>
      <c r="AU25" s="114"/>
      <c r="AV25" s="197"/>
      <c r="AW25" s="198"/>
      <c r="AX25" s="199"/>
      <c r="AZ25" s="59"/>
      <c r="BA25" s="25"/>
      <c r="BD25" s="25"/>
      <c r="BE25" s="25"/>
      <c r="BF25" s="25"/>
      <c r="BG25" s="25"/>
      <c r="BI25" s="32">
        <f>SUM(2*3000)</f>
        <v>6000</v>
      </c>
      <c r="BJ25" s="59">
        <f>SUM(7*1000)</f>
        <v>7000</v>
      </c>
      <c r="BK25" s="30"/>
      <c r="BL25" s="32">
        <f t="shared" si="2"/>
        <v>48000</v>
      </c>
      <c r="BM25" s="33">
        <f>SUM(8*2*1000)</f>
        <v>16000</v>
      </c>
      <c r="BN25" s="36"/>
      <c r="BO25" s="171">
        <f t="shared" si="1"/>
        <v>77000</v>
      </c>
      <c r="BP25" s="172"/>
      <c r="BQ25" s="172"/>
      <c r="BR25" s="172"/>
      <c r="BS25" s="173"/>
      <c r="BT25" s="158">
        <f>SUM(100/BO121)*BO25</f>
        <v>0.29733747803757266</v>
      </c>
      <c r="BU25" s="159"/>
      <c r="BV25" s="160"/>
      <c r="BX25" s="106"/>
      <c r="BY25" s="108"/>
      <c r="BZ25" s="106"/>
      <c r="CA25" s="108"/>
      <c r="CB25" s="106"/>
      <c r="CC25" s="108"/>
      <c r="CD25" s="106"/>
      <c r="CE25" s="108"/>
      <c r="CF25" s="189">
        <f t="shared" si="0"/>
        <v>0</v>
      </c>
      <c r="CG25" s="190"/>
    </row>
    <row r="26" spans="2:85" s="9" customFormat="1" ht="24" customHeight="1" x14ac:dyDescent="0.35">
      <c r="B26" s="109" t="s">
        <v>84</v>
      </c>
      <c r="C26" s="110"/>
      <c r="D26" s="110"/>
      <c r="E26" s="110"/>
      <c r="F26" s="111"/>
      <c r="G26" s="234" t="s">
        <v>27</v>
      </c>
      <c r="H26" s="235"/>
      <c r="I26" s="235"/>
      <c r="J26" s="235"/>
      <c r="K26" s="235"/>
      <c r="L26" s="235"/>
      <c r="M26" s="235"/>
      <c r="N26" s="235"/>
      <c r="O26" s="235"/>
      <c r="P26" s="235"/>
      <c r="Q26" s="235"/>
      <c r="R26" s="235"/>
      <c r="S26" s="235"/>
      <c r="T26" s="235"/>
      <c r="U26" s="235"/>
      <c r="V26" s="235"/>
      <c r="W26" s="235"/>
      <c r="X26" s="235"/>
      <c r="Y26" s="236"/>
      <c r="AA26" s="106"/>
      <c r="AB26" s="107"/>
      <c r="AC26" s="107"/>
      <c r="AD26" s="108"/>
      <c r="AF26" s="118"/>
      <c r="AG26" s="119"/>
      <c r="AH26" s="120"/>
      <c r="AJ26" s="197"/>
      <c r="AK26" s="198"/>
      <c r="AL26" s="199"/>
      <c r="AM26" s="197"/>
      <c r="AN26" s="198"/>
      <c r="AO26" s="199"/>
      <c r="AP26" s="197"/>
      <c r="AQ26" s="198"/>
      <c r="AR26" s="199"/>
      <c r="AS26" s="197"/>
      <c r="AT26" s="198"/>
      <c r="AU26" s="199"/>
      <c r="AV26" s="197"/>
      <c r="AW26" s="198"/>
      <c r="AX26" s="199"/>
      <c r="AZ26" s="59"/>
      <c r="BA26" s="25"/>
      <c r="BD26" s="25"/>
      <c r="BE26" s="25"/>
      <c r="BF26" s="25"/>
      <c r="BG26" s="25"/>
      <c r="BI26" s="32">
        <f>SUM(2*3000)</f>
        <v>6000</v>
      </c>
      <c r="BJ26" s="59">
        <f>SUM(7*1000)</f>
        <v>7000</v>
      </c>
      <c r="BK26" s="30"/>
      <c r="BL26" s="32">
        <f t="shared" si="2"/>
        <v>48000</v>
      </c>
      <c r="BM26" s="33">
        <f xml:space="preserve"> SUM(8*4*25000)</f>
        <v>800000</v>
      </c>
      <c r="BN26" s="36"/>
      <c r="BO26" s="171">
        <f t="shared" si="1"/>
        <v>861000</v>
      </c>
      <c r="BP26" s="172"/>
      <c r="BQ26" s="172"/>
      <c r="BR26" s="172"/>
      <c r="BS26" s="173"/>
      <c r="BT26" s="180">
        <f>SUM(100/BO121)*BO26</f>
        <v>3.3247736180564944</v>
      </c>
      <c r="BU26" s="181"/>
      <c r="BV26" s="182"/>
      <c r="BX26" s="106"/>
      <c r="BY26" s="108"/>
      <c r="BZ26" s="106"/>
      <c r="CA26" s="108"/>
      <c r="CB26" s="106"/>
      <c r="CC26" s="108"/>
      <c r="CD26" s="106"/>
      <c r="CE26" s="108"/>
      <c r="CF26" s="189">
        <f t="shared" si="0"/>
        <v>0</v>
      </c>
      <c r="CG26" s="190"/>
    </row>
    <row r="27" spans="2:85" s="9" customFormat="1" ht="24" customHeight="1" x14ac:dyDescent="0.35">
      <c r="B27" s="109" t="s">
        <v>85</v>
      </c>
      <c r="C27" s="110"/>
      <c r="D27" s="110"/>
      <c r="E27" s="110"/>
      <c r="F27" s="111"/>
      <c r="G27" s="234" t="s">
        <v>183</v>
      </c>
      <c r="H27" s="235"/>
      <c r="I27" s="235"/>
      <c r="J27" s="235"/>
      <c r="K27" s="235"/>
      <c r="L27" s="235"/>
      <c r="M27" s="235"/>
      <c r="N27" s="235"/>
      <c r="O27" s="235"/>
      <c r="P27" s="235"/>
      <c r="Q27" s="235"/>
      <c r="R27" s="235"/>
      <c r="S27" s="235"/>
      <c r="T27" s="235"/>
      <c r="U27" s="235"/>
      <c r="V27" s="235"/>
      <c r="W27" s="235"/>
      <c r="X27" s="235"/>
      <c r="Y27" s="236"/>
      <c r="AA27" s="106"/>
      <c r="AB27" s="107"/>
      <c r="AC27" s="107"/>
      <c r="AD27" s="108"/>
      <c r="AF27" s="118"/>
      <c r="AG27" s="119"/>
      <c r="AH27" s="120"/>
      <c r="AJ27" s="197"/>
      <c r="AK27" s="198"/>
      <c r="AL27" s="199"/>
      <c r="AM27" s="112"/>
      <c r="AN27" s="113"/>
      <c r="AO27" s="114"/>
      <c r="AP27" s="112"/>
      <c r="AQ27" s="113"/>
      <c r="AR27" s="114"/>
      <c r="AS27" s="112"/>
      <c r="AT27" s="113"/>
      <c r="AU27" s="114"/>
      <c r="AV27" s="197"/>
      <c r="AW27" s="198"/>
      <c r="AX27" s="199"/>
      <c r="AZ27" s="37"/>
      <c r="BA27" s="37"/>
      <c r="BC27" s="37"/>
      <c r="BI27" s="38">
        <f>SUM(1*1000)+(1*3000)+(1*20000)</f>
        <v>24000</v>
      </c>
      <c r="BJ27" s="60">
        <f>SUM(1*1000)</f>
        <v>1000</v>
      </c>
      <c r="BK27" s="30"/>
      <c r="BL27" s="32">
        <f t="shared" si="2"/>
        <v>48000</v>
      </c>
      <c r="BM27" s="33">
        <f xml:space="preserve"> SUM(1*2*1000)</f>
        <v>2000</v>
      </c>
      <c r="BN27" s="36"/>
      <c r="BO27" s="183">
        <f t="shared" si="1"/>
        <v>75000</v>
      </c>
      <c r="BP27" s="184"/>
      <c r="BQ27" s="184"/>
      <c r="BR27" s="184"/>
      <c r="BS27" s="185"/>
      <c r="BT27" s="158">
        <f>SUM(100/BO121)*BO27</f>
        <v>0.28961442665997339</v>
      </c>
      <c r="BU27" s="159"/>
      <c r="BV27" s="160"/>
      <c r="BX27" s="106"/>
      <c r="BY27" s="108"/>
      <c r="BZ27" s="106"/>
      <c r="CA27" s="108"/>
      <c r="CB27" s="106"/>
      <c r="CC27" s="108"/>
      <c r="CD27" s="106"/>
      <c r="CE27" s="108"/>
      <c r="CF27" s="189">
        <f t="shared" si="0"/>
        <v>0</v>
      </c>
      <c r="CG27" s="190"/>
    </row>
    <row r="28" spans="2:85" s="9" customFormat="1" ht="24" customHeight="1" x14ac:dyDescent="0.35">
      <c r="B28" s="109" t="s">
        <v>86</v>
      </c>
      <c r="C28" s="110"/>
      <c r="D28" s="110"/>
      <c r="E28" s="110"/>
      <c r="F28" s="111"/>
      <c r="G28" s="234" t="s">
        <v>139</v>
      </c>
      <c r="H28" s="235"/>
      <c r="I28" s="235"/>
      <c r="J28" s="235"/>
      <c r="K28" s="235"/>
      <c r="L28" s="235"/>
      <c r="M28" s="235"/>
      <c r="N28" s="235"/>
      <c r="O28" s="235"/>
      <c r="P28" s="235"/>
      <c r="Q28" s="235"/>
      <c r="R28" s="235"/>
      <c r="S28" s="235"/>
      <c r="T28" s="235"/>
      <c r="U28" s="235"/>
      <c r="V28" s="235"/>
      <c r="W28" s="235"/>
      <c r="X28" s="235"/>
      <c r="Y28" s="236"/>
      <c r="AA28" s="106"/>
      <c r="AB28" s="107"/>
      <c r="AC28" s="107"/>
      <c r="AD28" s="108"/>
      <c r="AF28" s="118"/>
      <c r="AG28" s="119"/>
      <c r="AH28" s="120"/>
      <c r="AJ28" s="197"/>
      <c r="AK28" s="198"/>
      <c r="AL28" s="199"/>
      <c r="AM28" s="112"/>
      <c r="AN28" s="113"/>
      <c r="AO28" s="114"/>
      <c r="AP28" s="112"/>
      <c r="AQ28" s="113"/>
      <c r="AR28" s="114"/>
      <c r="AS28" s="112"/>
      <c r="AT28" s="113"/>
      <c r="AU28" s="114"/>
      <c r="AV28" s="197"/>
      <c r="AW28" s="198"/>
      <c r="AX28" s="199"/>
      <c r="AZ28" s="59"/>
      <c r="BA28" s="25"/>
      <c r="BD28" s="25"/>
      <c r="BE28" s="25"/>
      <c r="BF28" s="25"/>
      <c r="BG28" s="25"/>
      <c r="BI28" s="32">
        <v>0</v>
      </c>
      <c r="BJ28" s="59">
        <f>SUM(7*1000)</f>
        <v>7000</v>
      </c>
      <c r="BK28" s="30"/>
      <c r="BL28" s="32">
        <f t="shared" si="2"/>
        <v>48000</v>
      </c>
      <c r="BM28" s="33">
        <f xml:space="preserve"> SUM(8*4*25000)</f>
        <v>800000</v>
      </c>
      <c r="BN28" s="36"/>
      <c r="BO28" s="171">
        <f t="shared" ref="BO28" si="3">SUM(BI28+BJ28+BK28+BL28+BM28+BN28)</f>
        <v>855000</v>
      </c>
      <c r="BP28" s="172"/>
      <c r="BQ28" s="172"/>
      <c r="BR28" s="172"/>
      <c r="BS28" s="173"/>
      <c r="BT28" s="180">
        <f>SUM(100/BO121)*BO28</f>
        <v>3.3016044639236966</v>
      </c>
      <c r="BU28" s="181"/>
      <c r="BV28" s="182"/>
      <c r="BX28" s="106"/>
      <c r="BY28" s="108"/>
      <c r="BZ28" s="106"/>
      <c r="CA28" s="108"/>
      <c r="CB28" s="106"/>
      <c r="CC28" s="108"/>
      <c r="CD28" s="106"/>
      <c r="CE28" s="108"/>
      <c r="CF28" s="189">
        <f t="shared" ref="CF28" si="4">SUM(BX28+BZ28+CB28+CD28)</f>
        <v>0</v>
      </c>
      <c r="CG28" s="190"/>
    </row>
    <row r="29" spans="2:85" s="9" customFormat="1" ht="24" customHeight="1" x14ac:dyDescent="0.35">
      <c r="B29" s="109" t="s">
        <v>87</v>
      </c>
      <c r="C29" s="110"/>
      <c r="D29" s="110"/>
      <c r="E29" s="110"/>
      <c r="F29" s="111"/>
      <c r="G29" s="234" t="s">
        <v>184</v>
      </c>
      <c r="H29" s="235"/>
      <c r="I29" s="235"/>
      <c r="J29" s="235"/>
      <c r="K29" s="235"/>
      <c r="L29" s="235"/>
      <c r="M29" s="235"/>
      <c r="N29" s="235"/>
      <c r="O29" s="235"/>
      <c r="P29" s="235"/>
      <c r="Q29" s="235"/>
      <c r="R29" s="235"/>
      <c r="S29" s="235"/>
      <c r="T29" s="235"/>
      <c r="U29" s="235"/>
      <c r="V29" s="235"/>
      <c r="W29" s="235"/>
      <c r="X29" s="235"/>
      <c r="Y29" s="236"/>
      <c r="AA29" s="106"/>
      <c r="AB29" s="107"/>
      <c r="AC29" s="107"/>
      <c r="AD29" s="108"/>
      <c r="AF29" s="118"/>
      <c r="AG29" s="119"/>
      <c r="AH29" s="120"/>
      <c r="AJ29" s="197"/>
      <c r="AK29" s="198"/>
      <c r="AL29" s="199"/>
      <c r="AM29" s="112"/>
      <c r="AN29" s="113"/>
      <c r="AO29" s="114"/>
      <c r="AP29" s="112"/>
      <c r="AQ29" s="113"/>
      <c r="AR29" s="114"/>
      <c r="AS29" s="112"/>
      <c r="AT29" s="113"/>
      <c r="AU29" s="114"/>
      <c r="AV29" s="197"/>
      <c r="AW29" s="198"/>
      <c r="AX29" s="199"/>
      <c r="AZ29" s="59"/>
      <c r="BA29" s="37"/>
      <c r="BB29" s="59"/>
      <c r="BC29" s="59"/>
      <c r="BD29" s="25"/>
      <c r="BE29" s="25"/>
      <c r="BF29" s="25"/>
      <c r="BG29" s="25"/>
      <c r="BI29" s="32">
        <f>SUM(15000+15000)</f>
        <v>30000</v>
      </c>
      <c r="BJ29" s="59">
        <f>SUM(7*1000)</f>
        <v>7000</v>
      </c>
      <c r="BK29" s="32">
        <f>SUM(54*7*2*1000)</f>
        <v>756000</v>
      </c>
      <c r="BL29" s="32">
        <f t="shared" si="2"/>
        <v>48000</v>
      </c>
      <c r="BM29" s="32">
        <f xml:space="preserve"> SUM(8*2*1000)</f>
        <v>16000</v>
      </c>
      <c r="BN29" s="33">
        <f>SUM(54*7*2*2000)</f>
        <v>1512000</v>
      </c>
      <c r="BO29" s="186">
        <f t="shared" si="1"/>
        <v>2369000</v>
      </c>
      <c r="BP29" s="187"/>
      <c r="BQ29" s="187"/>
      <c r="BR29" s="187"/>
      <c r="BS29" s="188"/>
      <c r="BT29" s="180">
        <f>SUM(100/BO121)*BO29</f>
        <v>9.147954356766359</v>
      </c>
      <c r="BU29" s="181"/>
      <c r="BV29" s="182"/>
      <c r="BX29" s="106"/>
      <c r="BY29" s="108"/>
      <c r="BZ29" s="106"/>
      <c r="CA29" s="108"/>
      <c r="CB29" s="106"/>
      <c r="CC29" s="108"/>
      <c r="CD29" s="106"/>
      <c r="CE29" s="108"/>
      <c r="CF29" s="189">
        <f t="shared" si="0"/>
        <v>0</v>
      </c>
      <c r="CG29" s="190"/>
    </row>
    <row r="30" spans="2:85" s="9" customFormat="1" ht="24" customHeight="1" x14ac:dyDescent="0.35">
      <c r="B30" s="109" t="s">
        <v>88</v>
      </c>
      <c r="C30" s="110"/>
      <c r="D30" s="110"/>
      <c r="E30" s="110"/>
      <c r="F30" s="111"/>
      <c r="G30" s="234" t="s">
        <v>36</v>
      </c>
      <c r="H30" s="235"/>
      <c r="I30" s="235"/>
      <c r="J30" s="235"/>
      <c r="K30" s="235"/>
      <c r="L30" s="235"/>
      <c r="M30" s="235"/>
      <c r="N30" s="235"/>
      <c r="O30" s="235"/>
      <c r="P30" s="235"/>
      <c r="Q30" s="235"/>
      <c r="R30" s="235"/>
      <c r="S30" s="235"/>
      <c r="T30" s="235"/>
      <c r="U30" s="235"/>
      <c r="V30" s="235"/>
      <c r="W30" s="235"/>
      <c r="X30" s="235"/>
      <c r="Y30" s="236"/>
      <c r="AA30" s="106"/>
      <c r="AB30" s="107"/>
      <c r="AC30" s="107"/>
      <c r="AD30" s="108"/>
      <c r="AF30" s="118"/>
      <c r="AG30" s="119"/>
      <c r="AH30" s="120"/>
      <c r="AJ30" s="197"/>
      <c r="AK30" s="198"/>
      <c r="AL30" s="199"/>
      <c r="AM30" s="112"/>
      <c r="AN30" s="113"/>
      <c r="AO30" s="114"/>
      <c r="AP30" s="112"/>
      <c r="AQ30" s="113"/>
      <c r="AR30" s="114"/>
      <c r="AS30" s="112"/>
      <c r="AT30" s="113"/>
      <c r="AU30" s="114"/>
      <c r="AV30" s="197"/>
      <c r="AW30" s="198"/>
      <c r="AX30" s="199"/>
      <c r="AZ30" s="59"/>
      <c r="BA30" s="37"/>
      <c r="BC30" s="59"/>
      <c r="BD30" s="25"/>
      <c r="BE30" s="25"/>
      <c r="BF30" s="25"/>
      <c r="BG30" s="25"/>
      <c r="BI30" s="32">
        <f>SUM(5000)+(7*3000)</f>
        <v>26000</v>
      </c>
      <c r="BJ30" s="59">
        <f>SUM(7*1000)</f>
        <v>7000</v>
      </c>
      <c r="BK30" s="32">
        <f>SUM(7*250)</f>
        <v>1750</v>
      </c>
      <c r="BL30" s="32">
        <f t="shared" si="2"/>
        <v>48000</v>
      </c>
      <c r="BM30" s="32">
        <f>SUM(7*100)</f>
        <v>700</v>
      </c>
      <c r="BN30" s="36"/>
      <c r="BO30" s="171">
        <f t="shared" si="1"/>
        <v>83450</v>
      </c>
      <c r="BP30" s="172"/>
      <c r="BQ30" s="172"/>
      <c r="BR30" s="172"/>
      <c r="BS30" s="173"/>
      <c r="BT30" s="158">
        <f>SUM(100/BO121)*BO30</f>
        <v>0.32224431873033038</v>
      </c>
      <c r="BU30" s="159"/>
      <c r="BV30" s="160"/>
      <c r="BX30" s="106"/>
      <c r="BY30" s="108"/>
      <c r="BZ30" s="106"/>
      <c r="CA30" s="108"/>
      <c r="CB30" s="106"/>
      <c r="CC30" s="108"/>
      <c r="CD30" s="106"/>
      <c r="CE30" s="108"/>
      <c r="CF30" s="189">
        <f t="shared" si="0"/>
        <v>0</v>
      </c>
      <c r="CG30" s="190"/>
    </row>
    <row r="31" spans="2:85" s="9" customFormat="1" ht="24" customHeight="1" x14ac:dyDescent="0.35">
      <c r="B31" s="109" t="s">
        <v>178</v>
      </c>
      <c r="C31" s="110"/>
      <c r="D31" s="110"/>
      <c r="E31" s="110"/>
      <c r="F31" s="111"/>
      <c r="G31" s="234" t="s">
        <v>179</v>
      </c>
      <c r="H31" s="235"/>
      <c r="I31" s="235"/>
      <c r="J31" s="235"/>
      <c r="K31" s="235"/>
      <c r="L31" s="235"/>
      <c r="M31" s="235"/>
      <c r="N31" s="235"/>
      <c r="O31" s="235"/>
      <c r="P31" s="235"/>
      <c r="Q31" s="235"/>
      <c r="R31" s="235"/>
      <c r="S31" s="235"/>
      <c r="T31" s="235"/>
      <c r="U31" s="235"/>
      <c r="V31" s="235"/>
      <c r="W31" s="235"/>
      <c r="X31" s="235"/>
      <c r="Y31" s="236"/>
      <c r="AA31" s="106"/>
      <c r="AB31" s="107"/>
      <c r="AC31" s="107"/>
      <c r="AD31" s="108"/>
      <c r="AF31" s="118"/>
      <c r="AG31" s="119"/>
      <c r="AH31" s="120"/>
      <c r="AJ31" s="197"/>
      <c r="AK31" s="198"/>
      <c r="AL31" s="199"/>
      <c r="AM31" s="112"/>
      <c r="AN31" s="113"/>
      <c r="AO31" s="114"/>
      <c r="AP31" s="112"/>
      <c r="AQ31" s="113"/>
      <c r="AR31" s="114"/>
      <c r="AS31" s="112"/>
      <c r="AT31" s="113"/>
      <c r="AU31" s="114"/>
      <c r="AV31" s="197"/>
      <c r="AW31" s="198"/>
      <c r="AX31" s="199"/>
      <c r="AZ31" s="59"/>
      <c r="BA31" s="37"/>
      <c r="BC31" s="59"/>
      <c r="BD31" s="25"/>
      <c r="BE31" s="25"/>
      <c r="BF31" s="25"/>
      <c r="BG31" s="25"/>
      <c r="BI31" s="32">
        <f>SUM(5000)+(7*3000)</f>
        <v>26000</v>
      </c>
      <c r="BJ31" s="59">
        <f>SUM(7*1000)</f>
        <v>7000</v>
      </c>
      <c r="BK31" s="33">
        <f>SUM(7*250)</f>
        <v>1750</v>
      </c>
      <c r="BL31" s="32">
        <f t="shared" si="2"/>
        <v>48000</v>
      </c>
      <c r="BM31" s="32">
        <f>SUM(8*1*50000)</f>
        <v>400000</v>
      </c>
      <c r="BN31" s="36"/>
      <c r="BO31" s="171">
        <f t="shared" si="1"/>
        <v>482750</v>
      </c>
      <c r="BP31" s="172"/>
      <c r="BQ31" s="172"/>
      <c r="BR31" s="172"/>
      <c r="BS31" s="173"/>
      <c r="BT31" s="158">
        <f>SUM(100/BO121)*BO31</f>
        <v>1.8641515262680286</v>
      </c>
      <c r="BU31" s="159"/>
      <c r="BV31" s="160"/>
      <c r="BX31" s="106"/>
      <c r="BY31" s="108"/>
      <c r="BZ31" s="106"/>
      <c r="CA31" s="108"/>
      <c r="CB31" s="106"/>
      <c r="CC31" s="108"/>
      <c r="CD31" s="106"/>
      <c r="CE31" s="108"/>
      <c r="CF31" s="189">
        <f t="shared" si="0"/>
        <v>0</v>
      </c>
      <c r="CG31" s="190"/>
    </row>
    <row r="32" spans="2:85" s="9" customFormat="1" ht="24" customHeight="1" x14ac:dyDescent="0.35">
      <c r="B32" s="109" t="s">
        <v>181</v>
      </c>
      <c r="C32" s="110"/>
      <c r="D32" s="110"/>
      <c r="E32" s="110"/>
      <c r="F32" s="111"/>
      <c r="G32" s="234" t="s">
        <v>182</v>
      </c>
      <c r="H32" s="235"/>
      <c r="I32" s="235"/>
      <c r="J32" s="235"/>
      <c r="K32" s="235"/>
      <c r="L32" s="235"/>
      <c r="M32" s="235"/>
      <c r="N32" s="235"/>
      <c r="O32" s="235"/>
      <c r="P32" s="235"/>
      <c r="Q32" s="235"/>
      <c r="R32" s="235"/>
      <c r="S32" s="235"/>
      <c r="T32" s="235"/>
      <c r="U32" s="235"/>
      <c r="V32" s="235"/>
      <c r="W32" s="235"/>
      <c r="X32" s="235"/>
      <c r="Y32" s="236"/>
      <c r="AA32" s="106"/>
      <c r="AB32" s="107"/>
      <c r="AC32" s="107"/>
      <c r="AD32" s="108"/>
      <c r="AF32" s="118"/>
      <c r="AG32" s="119"/>
      <c r="AH32" s="120"/>
      <c r="AJ32" s="197"/>
      <c r="AK32" s="198"/>
      <c r="AL32" s="199"/>
      <c r="AM32" s="112"/>
      <c r="AN32" s="113"/>
      <c r="AO32" s="114"/>
      <c r="AP32" s="112"/>
      <c r="AQ32" s="113"/>
      <c r="AR32" s="114"/>
      <c r="AS32" s="112"/>
      <c r="AT32" s="113"/>
      <c r="AU32" s="114"/>
      <c r="AV32" s="197"/>
      <c r="AW32" s="198"/>
      <c r="AX32" s="199"/>
      <c r="AZ32" s="59"/>
      <c r="BA32" s="37"/>
      <c r="BC32" s="59"/>
      <c r="BD32" s="25"/>
      <c r="BE32" s="25"/>
      <c r="BF32" s="25"/>
      <c r="BG32" s="25"/>
      <c r="BI32" s="32">
        <v>0</v>
      </c>
      <c r="BJ32" s="59">
        <f>SUM(7*1000)</f>
        <v>7000</v>
      </c>
      <c r="BK32" s="33">
        <f>SUM(7*250)</f>
        <v>1750</v>
      </c>
      <c r="BL32" s="32">
        <f t="shared" si="2"/>
        <v>48000</v>
      </c>
      <c r="BM32" s="32">
        <f>SUM(8*1*50000)</f>
        <v>400000</v>
      </c>
      <c r="BN32" s="36"/>
      <c r="BO32" s="171">
        <f t="shared" ref="BO32" si="5">SUM(BI32+BJ32+BK32+BL32+BM32+BN32)</f>
        <v>456750</v>
      </c>
      <c r="BP32" s="172"/>
      <c r="BQ32" s="172"/>
      <c r="BR32" s="172"/>
      <c r="BS32" s="173"/>
      <c r="BT32" s="158">
        <f>SUM(100/BO121)*BO32</f>
        <v>1.763751858359238</v>
      </c>
      <c r="BU32" s="159"/>
      <c r="BV32" s="160"/>
      <c r="BX32" s="106"/>
      <c r="BY32" s="108"/>
      <c r="BZ32" s="106"/>
      <c r="CA32" s="108"/>
      <c r="CB32" s="106"/>
      <c r="CC32" s="108"/>
      <c r="CD32" s="106"/>
      <c r="CE32" s="108"/>
      <c r="CF32" s="189">
        <f t="shared" ref="CF32" si="6">SUM(BX32+BZ32+CB32+CD32)</f>
        <v>0</v>
      </c>
      <c r="CG32" s="190"/>
    </row>
    <row r="33" spans="2:85" ht="4.5" customHeight="1" x14ac:dyDescent="0.35">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30"/>
      <c r="BJ33" s="30"/>
      <c r="BK33" s="30"/>
      <c r="BL33" s="30"/>
      <c r="BM33" s="30"/>
      <c r="BN33" s="30"/>
      <c r="BO33" s="30"/>
      <c r="BP33" s="30"/>
      <c r="BQ33" s="30"/>
      <c r="BR33" s="30"/>
      <c r="BS33" s="30"/>
      <c r="BT33" s="30"/>
      <c r="BU33" s="28"/>
      <c r="BV33" s="28"/>
      <c r="BW33" s="9"/>
      <c r="BX33" s="8"/>
      <c r="BY33" s="8"/>
      <c r="BZ33" s="8"/>
      <c r="CA33" s="8"/>
      <c r="CB33" s="8"/>
      <c r="CC33" s="8"/>
      <c r="CD33" s="8"/>
      <c r="CE33" s="8"/>
      <c r="CF33" s="8"/>
      <c r="CG33" s="8"/>
    </row>
    <row r="34" spans="2:85" s="9" customFormat="1" ht="24" customHeight="1" x14ac:dyDescent="0.35">
      <c r="B34" s="194" t="s">
        <v>69</v>
      </c>
      <c r="C34" s="195"/>
      <c r="D34" s="195"/>
      <c r="E34" s="195"/>
      <c r="F34" s="196"/>
      <c r="G34" s="103" t="s">
        <v>103</v>
      </c>
      <c r="H34" s="104"/>
      <c r="I34" s="104"/>
      <c r="J34" s="104"/>
      <c r="K34" s="104"/>
      <c r="L34" s="104"/>
      <c r="M34" s="104"/>
      <c r="N34" s="104"/>
      <c r="O34" s="104"/>
      <c r="P34" s="104"/>
      <c r="Q34" s="104"/>
      <c r="R34" s="104"/>
      <c r="S34" s="104"/>
      <c r="T34" s="104"/>
      <c r="U34" s="104"/>
      <c r="V34" s="104"/>
      <c r="W34" s="104"/>
      <c r="X34" s="104"/>
      <c r="Y34" s="105"/>
      <c r="Z34" s="8"/>
      <c r="AA34" s="189">
        <f>SUM(AA12:AA30)</f>
        <v>0</v>
      </c>
      <c r="AB34" s="201"/>
      <c r="AC34" s="201"/>
      <c r="AD34" s="190"/>
      <c r="AE34" s="8"/>
      <c r="AF34" s="174">
        <f>MEDIAN(AF12:AF30)</f>
        <v>0</v>
      </c>
      <c r="AG34" s="175"/>
      <c r="AH34" s="176"/>
      <c r="AI34" s="8"/>
      <c r="AJ34" s="230"/>
      <c r="AK34" s="230"/>
      <c r="AL34" s="230"/>
      <c r="AM34" s="230"/>
      <c r="AN34" s="230"/>
      <c r="AO34" s="230"/>
      <c r="AP34" s="230"/>
      <c r="AQ34" s="230"/>
      <c r="AR34" s="230"/>
      <c r="AS34" s="230"/>
      <c r="AT34" s="230"/>
      <c r="AU34" s="230"/>
      <c r="AV34" s="230"/>
      <c r="AW34" s="230"/>
      <c r="AX34" s="230"/>
      <c r="AY34" s="8"/>
      <c r="AZ34" s="8"/>
      <c r="BA34" s="8"/>
      <c r="BB34" s="8"/>
      <c r="BC34" s="8"/>
      <c r="BD34" s="8"/>
      <c r="BE34" s="8"/>
      <c r="BF34" s="8"/>
      <c r="BG34" s="8"/>
      <c r="BH34" s="8"/>
      <c r="BI34" s="56">
        <f t="shared" ref="BI34:BN34" si="7">SUM(BI12:BI30)</f>
        <v>1200000</v>
      </c>
      <c r="BJ34" s="56">
        <f t="shared" si="7"/>
        <v>86000</v>
      </c>
      <c r="BK34" s="56">
        <f t="shared" si="7"/>
        <v>2040750</v>
      </c>
      <c r="BL34" s="56">
        <f t="shared" si="7"/>
        <v>900000</v>
      </c>
      <c r="BM34" s="56">
        <f t="shared" si="7"/>
        <v>3166700</v>
      </c>
      <c r="BN34" s="56">
        <f t="shared" si="7"/>
        <v>1512000</v>
      </c>
      <c r="BO34" s="171">
        <f>SUM(BI34+BJ34+BK34+BL34+BM34+BN34)</f>
        <v>8905450</v>
      </c>
      <c r="BP34" s="172"/>
      <c r="BQ34" s="172"/>
      <c r="BR34" s="172"/>
      <c r="BS34" s="173"/>
      <c r="BT34" s="158">
        <f>SUM(100/BO121)*BO34</f>
        <v>34.388623945320802</v>
      </c>
      <c r="BU34" s="159"/>
      <c r="BV34" s="160"/>
      <c r="BW34" s="8"/>
      <c r="BX34" s="174">
        <f>SUM(BX12:BX30)</f>
        <v>0</v>
      </c>
      <c r="BY34" s="176"/>
      <c r="BZ34" s="174">
        <f>SUM(BZ12:BZ30)</f>
        <v>0</v>
      </c>
      <c r="CA34" s="176"/>
      <c r="CB34" s="174">
        <f>SUM(CB12:CB30)</f>
        <v>0</v>
      </c>
      <c r="CC34" s="176"/>
      <c r="CD34" s="174">
        <f>SUM(CD12:CD30)</f>
        <v>0</v>
      </c>
      <c r="CE34" s="176"/>
      <c r="CF34" s="174">
        <f>SUM(CF12:CF30)</f>
        <v>0</v>
      </c>
      <c r="CG34" s="176"/>
    </row>
    <row r="35" spans="2:85" ht="4.5" customHeight="1" x14ac:dyDescent="0.35">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8"/>
      <c r="BY35" s="8"/>
      <c r="BZ35" s="8"/>
      <c r="CA35" s="8"/>
      <c r="CB35" s="8"/>
      <c r="CC35" s="8"/>
      <c r="CD35" s="8"/>
      <c r="CE35" s="8"/>
      <c r="CF35" s="8"/>
      <c r="CG35" s="8"/>
    </row>
    <row r="36" spans="2:85" ht="4.5" customHeight="1" x14ac:dyDescent="0.35">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8"/>
      <c r="BY36" s="8"/>
      <c r="BZ36" s="8"/>
      <c r="CA36" s="8"/>
      <c r="CB36" s="8"/>
      <c r="CC36" s="8"/>
      <c r="CD36" s="8"/>
      <c r="CE36" s="8"/>
      <c r="CF36" s="8"/>
      <c r="CG36" s="8"/>
    </row>
    <row r="37" spans="2:85" ht="19.5" customHeight="1" x14ac:dyDescent="0.35">
      <c r="B37" s="149" t="s">
        <v>54</v>
      </c>
      <c r="C37" s="150"/>
      <c r="D37" s="150"/>
      <c r="E37" s="150"/>
      <c r="F37" s="151"/>
      <c r="G37" s="149" t="s">
        <v>147</v>
      </c>
      <c r="H37" s="150"/>
      <c r="I37" s="150"/>
      <c r="J37" s="150"/>
      <c r="K37" s="150"/>
      <c r="L37" s="150"/>
      <c r="M37" s="150"/>
      <c r="N37" s="150"/>
      <c r="O37" s="150"/>
      <c r="P37" s="150"/>
      <c r="Q37" s="150"/>
      <c r="R37" s="150"/>
      <c r="S37" s="150"/>
      <c r="T37" s="150"/>
      <c r="U37" s="150"/>
      <c r="V37" s="150"/>
      <c r="W37" s="150"/>
      <c r="X37" s="150"/>
      <c r="Y37" s="151"/>
      <c r="AA37" s="205" t="s">
        <v>161</v>
      </c>
      <c r="AB37" s="206"/>
      <c r="AC37" s="206"/>
      <c r="AD37" s="207"/>
      <c r="AF37" s="205" t="s">
        <v>162</v>
      </c>
      <c r="AG37" s="206"/>
      <c r="AH37" s="207"/>
      <c r="AJ37" s="162" t="s">
        <v>177</v>
      </c>
      <c r="AK37" s="162"/>
      <c r="AL37" s="162"/>
      <c r="AM37" s="162"/>
      <c r="AN37" s="162"/>
      <c r="AO37" s="162"/>
      <c r="AP37" s="162"/>
      <c r="AQ37" s="162"/>
      <c r="AR37" s="162"/>
      <c r="AS37" s="162"/>
      <c r="AT37" s="162"/>
      <c r="AU37" s="162"/>
      <c r="AV37" s="162"/>
      <c r="AW37" s="162"/>
      <c r="AX37" s="162"/>
      <c r="AZ37" s="115" t="s">
        <v>163</v>
      </c>
      <c r="BA37" s="116"/>
      <c r="BB37" s="116"/>
      <c r="BC37" s="116"/>
      <c r="BD37" s="116"/>
      <c r="BE37" s="116"/>
      <c r="BF37" s="116"/>
      <c r="BG37" s="117"/>
      <c r="BH37" s="9"/>
      <c r="BI37" s="115" t="s">
        <v>164</v>
      </c>
      <c r="BJ37" s="116"/>
      <c r="BK37" s="116"/>
      <c r="BL37" s="116"/>
      <c r="BM37" s="116"/>
      <c r="BN37" s="116"/>
      <c r="BO37" s="116"/>
      <c r="BP37" s="116"/>
      <c r="BQ37" s="116"/>
      <c r="BR37" s="116"/>
      <c r="BS37" s="116"/>
      <c r="BT37" s="116"/>
      <c r="BU37" s="116"/>
      <c r="BV37" s="117"/>
      <c r="BW37" s="9"/>
      <c r="BX37" s="205" t="s">
        <v>176</v>
      </c>
      <c r="BY37" s="206"/>
      <c r="BZ37" s="206"/>
      <c r="CA37" s="206"/>
      <c r="CB37" s="206"/>
      <c r="CC37" s="206"/>
      <c r="CD37" s="206"/>
      <c r="CE37" s="206"/>
      <c r="CF37" s="206"/>
      <c r="CG37" s="207"/>
    </row>
    <row r="38" spans="2:85" ht="16" customHeight="1" x14ac:dyDescent="0.35">
      <c r="B38" s="152"/>
      <c r="C38" s="153"/>
      <c r="D38" s="153"/>
      <c r="E38" s="153"/>
      <c r="F38" s="154"/>
      <c r="G38" s="152"/>
      <c r="H38" s="153"/>
      <c r="I38" s="153"/>
      <c r="J38" s="153"/>
      <c r="K38" s="153"/>
      <c r="L38" s="153"/>
      <c r="M38" s="153"/>
      <c r="N38" s="153"/>
      <c r="O38" s="153"/>
      <c r="P38" s="153"/>
      <c r="Q38" s="153"/>
      <c r="R38" s="153"/>
      <c r="S38" s="153"/>
      <c r="T38" s="153"/>
      <c r="U38" s="153"/>
      <c r="V38" s="153"/>
      <c r="W38" s="153"/>
      <c r="X38" s="153"/>
      <c r="Y38" s="154"/>
      <c r="AA38" s="152" t="s">
        <v>134</v>
      </c>
      <c r="AB38" s="153"/>
      <c r="AC38" s="153"/>
      <c r="AD38" s="154"/>
      <c r="AF38" s="152" t="s">
        <v>155</v>
      </c>
      <c r="AG38" s="153"/>
      <c r="AH38" s="154"/>
      <c r="AJ38" s="162"/>
      <c r="AK38" s="162"/>
      <c r="AL38" s="162"/>
      <c r="AM38" s="162"/>
      <c r="AN38" s="162"/>
      <c r="AO38" s="162"/>
      <c r="AP38" s="162"/>
      <c r="AQ38" s="162"/>
      <c r="AR38" s="162"/>
      <c r="AS38" s="162"/>
      <c r="AT38" s="162"/>
      <c r="AU38" s="162"/>
      <c r="AV38" s="162"/>
      <c r="AW38" s="162"/>
      <c r="AX38" s="162"/>
      <c r="AZ38" s="174" t="s">
        <v>55</v>
      </c>
      <c r="BA38" s="175"/>
      <c r="BB38" s="175"/>
      <c r="BC38" s="176"/>
      <c r="BD38" s="174" t="s">
        <v>56</v>
      </c>
      <c r="BE38" s="175"/>
      <c r="BF38" s="176"/>
      <c r="BG38" s="24" t="s">
        <v>48</v>
      </c>
      <c r="BH38" s="9"/>
      <c r="BI38" s="82" t="s">
        <v>67</v>
      </c>
      <c r="BJ38" s="83"/>
      <c r="BK38" s="83"/>
      <c r="BL38" s="83"/>
      <c r="BM38" s="83"/>
      <c r="BN38" s="83"/>
      <c r="BO38" s="83"/>
      <c r="BP38" s="83"/>
      <c r="BQ38" s="83"/>
      <c r="BR38" s="83"/>
      <c r="BS38" s="84"/>
      <c r="BT38" s="219" t="s">
        <v>175</v>
      </c>
      <c r="BU38" s="220"/>
      <c r="BV38" s="221"/>
      <c r="BW38" s="9"/>
      <c r="BX38" s="208"/>
      <c r="BY38" s="209"/>
      <c r="BZ38" s="209"/>
      <c r="CA38" s="209"/>
      <c r="CB38" s="209"/>
      <c r="CC38" s="209"/>
      <c r="CD38" s="209"/>
      <c r="CE38" s="209"/>
      <c r="CF38" s="209"/>
      <c r="CG38" s="210"/>
    </row>
    <row r="39" spans="2:85" ht="16" customHeight="1" x14ac:dyDescent="0.35">
      <c r="B39" s="152"/>
      <c r="C39" s="153"/>
      <c r="D39" s="153"/>
      <c r="E39" s="153"/>
      <c r="F39" s="154"/>
      <c r="G39" s="152"/>
      <c r="H39" s="153"/>
      <c r="I39" s="153"/>
      <c r="J39" s="153"/>
      <c r="K39" s="153"/>
      <c r="L39" s="153"/>
      <c r="M39" s="153"/>
      <c r="N39" s="153"/>
      <c r="O39" s="153"/>
      <c r="P39" s="153"/>
      <c r="Q39" s="153"/>
      <c r="R39" s="153"/>
      <c r="S39" s="153"/>
      <c r="T39" s="153"/>
      <c r="U39" s="153"/>
      <c r="V39" s="153"/>
      <c r="W39" s="153"/>
      <c r="X39" s="153"/>
      <c r="Y39" s="154"/>
      <c r="AA39" s="152"/>
      <c r="AB39" s="153"/>
      <c r="AC39" s="153"/>
      <c r="AD39" s="154"/>
      <c r="AF39" s="152"/>
      <c r="AG39" s="153"/>
      <c r="AH39" s="154"/>
      <c r="AJ39" s="163" t="s">
        <v>44</v>
      </c>
      <c r="AK39" s="163"/>
      <c r="AL39" s="163"/>
      <c r="AM39" s="163"/>
      <c r="AN39" s="163"/>
      <c r="AO39" s="163"/>
      <c r="AP39" s="163"/>
      <c r="AQ39" s="163"/>
      <c r="AR39" s="163"/>
      <c r="AS39" s="163"/>
      <c r="AT39" s="163"/>
      <c r="AU39" s="163"/>
      <c r="AV39" s="163"/>
      <c r="AW39" s="163"/>
      <c r="AX39" s="163"/>
      <c r="AZ39" s="63" t="s">
        <v>161</v>
      </c>
      <c r="BA39" s="63" t="s">
        <v>162</v>
      </c>
      <c r="BB39" s="63" t="s">
        <v>165</v>
      </c>
      <c r="BC39" s="63" t="s">
        <v>166</v>
      </c>
      <c r="BD39" s="63" t="s">
        <v>167</v>
      </c>
      <c r="BE39" s="63" t="s">
        <v>168</v>
      </c>
      <c r="BF39" s="63" t="s">
        <v>169</v>
      </c>
      <c r="BG39" s="63" t="s">
        <v>170</v>
      </c>
      <c r="BH39" s="9"/>
      <c r="BI39" s="167" t="s">
        <v>216</v>
      </c>
      <c r="BJ39" s="167" t="s">
        <v>171</v>
      </c>
      <c r="BK39" s="167" t="s">
        <v>215</v>
      </c>
      <c r="BL39" s="167" t="s">
        <v>172</v>
      </c>
      <c r="BM39" s="167" t="s">
        <v>217</v>
      </c>
      <c r="BN39" s="167" t="s">
        <v>173</v>
      </c>
      <c r="BO39" s="219" t="s">
        <v>174</v>
      </c>
      <c r="BP39" s="220"/>
      <c r="BQ39" s="220"/>
      <c r="BR39" s="220"/>
      <c r="BS39" s="221"/>
      <c r="BT39" s="225"/>
      <c r="BU39" s="226"/>
      <c r="BV39" s="227"/>
      <c r="BW39" s="9"/>
      <c r="BX39" s="211"/>
      <c r="BY39" s="212"/>
      <c r="BZ39" s="212"/>
      <c r="CA39" s="212"/>
      <c r="CB39" s="212"/>
      <c r="CC39" s="212"/>
      <c r="CD39" s="212"/>
      <c r="CE39" s="212"/>
      <c r="CF39" s="212"/>
      <c r="CG39" s="213"/>
    </row>
    <row r="40" spans="2:85" ht="30.5" customHeight="1" x14ac:dyDescent="0.35">
      <c r="B40" s="155"/>
      <c r="C40" s="156"/>
      <c r="D40" s="156"/>
      <c r="E40" s="156"/>
      <c r="F40" s="157"/>
      <c r="G40" s="155"/>
      <c r="H40" s="156"/>
      <c r="I40" s="156"/>
      <c r="J40" s="156"/>
      <c r="K40" s="156"/>
      <c r="L40" s="156"/>
      <c r="M40" s="156"/>
      <c r="N40" s="156"/>
      <c r="O40" s="156"/>
      <c r="P40" s="156"/>
      <c r="Q40" s="156"/>
      <c r="R40" s="156"/>
      <c r="S40" s="156"/>
      <c r="T40" s="156"/>
      <c r="U40" s="156"/>
      <c r="V40" s="156"/>
      <c r="W40" s="156"/>
      <c r="X40" s="156"/>
      <c r="Y40" s="157"/>
      <c r="AA40" s="155"/>
      <c r="AB40" s="156"/>
      <c r="AC40" s="156"/>
      <c r="AD40" s="157"/>
      <c r="AF40" s="155"/>
      <c r="AG40" s="156"/>
      <c r="AH40" s="157"/>
      <c r="AJ40" s="161">
        <v>2026</v>
      </c>
      <c r="AK40" s="161"/>
      <c r="AL40" s="161"/>
      <c r="AM40" s="161">
        <v>2027</v>
      </c>
      <c r="AN40" s="161"/>
      <c r="AO40" s="161"/>
      <c r="AP40" s="161">
        <v>2028</v>
      </c>
      <c r="AQ40" s="161"/>
      <c r="AR40" s="161"/>
      <c r="AS40" s="161">
        <v>2029</v>
      </c>
      <c r="AT40" s="161"/>
      <c r="AU40" s="161"/>
      <c r="AV40" s="161">
        <v>2030</v>
      </c>
      <c r="AW40" s="161"/>
      <c r="AX40" s="161"/>
      <c r="AZ40" s="24" t="s">
        <v>46</v>
      </c>
      <c r="BA40" s="24" t="s">
        <v>45</v>
      </c>
      <c r="BB40" s="24" t="s">
        <v>47</v>
      </c>
      <c r="BC40" s="24" t="s">
        <v>49</v>
      </c>
      <c r="BD40" s="24" t="s">
        <v>50</v>
      </c>
      <c r="BE40" s="24" t="s">
        <v>51</v>
      </c>
      <c r="BF40" s="24" t="s">
        <v>64</v>
      </c>
      <c r="BG40" s="24" t="s">
        <v>48</v>
      </c>
      <c r="BH40" s="9"/>
      <c r="BI40" s="167"/>
      <c r="BJ40" s="167"/>
      <c r="BK40" s="167"/>
      <c r="BL40" s="167"/>
      <c r="BM40" s="167"/>
      <c r="BN40" s="167"/>
      <c r="BO40" s="222"/>
      <c r="BP40" s="223"/>
      <c r="BQ40" s="223"/>
      <c r="BR40" s="223"/>
      <c r="BS40" s="224"/>
      <c r="BT40" s="222"/>
      <c r="BU40" s="223"/>
      <c r="BV40" s="224"/>
      <c r="BW40" s="9"/>
      <c r="BX40" s="200" t="s">
        <v>8</v>
      </c>
      <c r="BY40" s="200"/>
      <c r="BZ40" s="200" t="s">
        <v>9</v>
      </c>
      <c r="CA40" s="200"/>
      <c r="CB40" s="200" t="s">
        <v>10</v>
      </c>
      <c r="CC40" s="200"/>
      <c r="CD40" s="192" t="s">
        <v>11</v>
      </c>
      <c r="CE40" s="193"/>
      <c r="CF40" s="192" t="s">
        <v>19</v>
      </c>
      <c r="CG40" s="193"/>
    </row>
    <row r="41" spans="2:85" ht="4.5" customHeight="1" x14ac:dyDescent="0.35">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8"/>
      <c r="BY41" s="8"/>
      <c r="BZ41" s="8"/>
      <c r="CA41" s="8"/>
      <c r="CB41" s="8"/>
      <c r="CC41" s="8"/>
      <c r="CD41" s="8"/>
      <c r="CE41" s="8"/>
      <c r="CF41" s="8"/>
      <c r="CG41" s="8"/>
    </row>
    <row r="42" spans="2:85" s="9" customFormat="1" ht="24" customHeight="1" x14ac:dyDescent="0.35">
      <c r="B42" s="194" t="s">
        <v>89</v>
      </c>
      <c r="C42" s="195"/>
      <c r="D42" s="195"/>
      <c r="E42" s="195"/>
      <c r="F42" s="196"/>
      <c r="G42" s="194" t="s">
        <v>156</v>
      </c>
      <c r="H42" s="195"/>
      <c r="I42" s="195"/>
      <c r="J42" s="195"/>
      <c r="K42" s="195"/>
      <c r="L42" s="195"/>
      <c r="M42" s="195"/>
      <c r="N42" s="195"/>
      <c r="O42" s="195"/>
      <c r="P42" s="195"/>
      <c r="Q42" s="195"/>
      <c r="R42" s="195"/>
      <c r="S42" s="195"/>
      <c r="T42" s="195"/>
      <c r="U42" s="195"/>
      <c r="V42" s="195"/>
      <c r="W42" s="195"/>
      <c r="X42" s="195"/>
      <c r="Y42" s="196"/>
      <c r="BI42" s="26"/>
      <c r="BJ42" s="26"/>
      <c r="BK42" s="26"/>
      <c r="BL42" s="26"/>
      <c r="BM42" s="26"/>
      <c r="BN42" s="26"/>
      <c r="BO42" s="28"/>
      <c r="BP42" s="28"/>
      <c r="BQ42" s="28"/>
      <c r="BR42" s="28"/>
      <c r="BS42" s="28"/>
      <c r="BT42" s="28"/>
      <c r="BU42" s="28"/>
      <c r="BV42" s="28"/>
      <c r="BX42" s="191"/>
      <c r="BY42" s="191"/>
      <c r="BZ42" s="191"/>
      <c r="CA42" s="191"/>
      <c r="CB42" s="191"/>
      <c r="CC42" s="191"/>
      <c r="CD42" s="191"/>
      <c r="CE42" s="191"/>
      <c r="CF42" s="191"/>
      <c r="CG42" s="191"/>
    </row>
    <row r="43" spans="2:85" s="9" customFormat="1" ht="24" customHeight="1" x14ac:dyDescent="0.35">
      <c r="B43" s="231" t="s">
        <v>91</v>
      </c>
      <c r="C43" s="232"/>
      <c r="D43" s="232"/>
      <c r="E43" s="232"/>
      <c r="F43" s="233"/>
      <c r="G43" s="234" t="s">
        <v>210</v>
      </c>
      <c r="H43" s="235"/>
      <c r="I43" s="235"/>
      <c r="J43" s="235"/>
      <c r="K43" s="235"/>
      <c r="L43" s="235"/>
      <c r="M43" s="235"/>
      <c r="N43" s="235"/>
      <c r="O43" s="235"/>
      <c r="P43" s="235"/>
      <c r="Q43" s="235"/>
      <c r="R43" s="235"/>
      <c r="S43" s="235"/>
      <c r="T43" s="235"/>
      <c r="U43" s="235"/>
      <c r="V43" s="235"/>
      <c r="W43" s="235"/>
      <c r="X43" s="235"/>
      <c r="Y43" s="236"/>
      <c r="AA43" s="106"/>
      <c r="AB43" s="107"/>
      <c r="AC43" s="107"/>
      <c r="AD43" s="108"/>
      <c r="AF43" s="118">
        <v>0</v>
      </c>
      <c r="AG43" s="119"/>
      <c r="AH43" s="120"/>
      <c r="AJ43" s="197"/>
      <c r="AK43" s="198"/>
      <c r="AL43" s="199"/>
      <c r="AM43" s="112"/>
      <c r="AN43" s="113"/>
      <c r="AO43" s="114"/>
      <c r="AP43" s="112"/>
      <c r="AQ43" s="113"/>
      <c r="AR43" s="114"/>
      <c r="AS43" s="112"/>
      <c r="AT43" s="113"/>
      <c r="AU43" s="114"/>
      <c r="AV43" s="197"/>
      <c r="AW43" s="198"/>
      <c r="AX43" s="199"/>
      <c r="AZ43" s="25"/>
      <c r="BA43" s="25"/>
      <c r="BC43" s="59"/>
      <c r="BD43" s="25"/>
      <c r="BE43" s="25"/>
      <c r="BF43" s="25"/>
      <c r="BG43" s="25"/>
      <c r="BI43" s="32">
        <f>SUM(1*1*5000)</f>
        <v>5000</v>
      </c>
      <c r="BJ43" s="39">
        <f>SUM(1*1*5000)</f>
        <v>5000</v>
      </c>
      <c r="BK43" s="32">
        <f t="shared" ref="BK43:BK54" si="8">SUM(7*250)</f>
        <v>1750</v>
      </c>
      <c r="BL43" s="32">
        <f xml:space="preserve"> SUM(8*2*3000)</f>
        <v>48000</v>
      </c>
      <c r="BM43" s="32">
        <f t="shared" ref="BM43:BM54" si="9">SUM(7*100)</f>
        <v>700</v>
      </c>
      <c r="BN43" s="36"/>
      <c r="BO43" s="171">
        <f t="shared" ref="BO43:BO54" si="10">SUM(BI43+BJ43+BK43+BL43+BM43+BN43)</f>
        <v>60450</v>
      </c>
      <c r="BP43" s="172"/>
      <c r="BQ43" s="172"/>
      <c r="BR43" s="172"/>
      <c r="BS43" s="173"/>
      <c r="BT43" s="164">
        <f>SUM(100/BO121)*BO43</f>
        <v>0.23342922788793855</v>
      </c>
      <c r="BU43" s="165"/>
      <c r="BV43" s="166"/>
      <c r="BX43" s="228"/>
      <c r="BY43" s="229"/>
      <c r="BZ43" s="228"/>
      <c r="CA43" s="229"/>
      <c r="CB43" s="228"/>
      <c r="CC43" s="229"/>
      <c r="CD43" s="228"/>
      <c r="CE43" s="229"/>
      <c r="CF43" s="189">
        <f t="shared" ref="CF43:CF54" si="11">SUM(BX43+BZ43+CB43+CD43)</f>
        <v>0</v>
      </c>
      <c r="CG43" s="190"/>
    </row>
    <row r="44" spans="2:85" s="9" customFormat="1" ht="24" customHeight="1" x14ac:dyDescent="0.35">
      <c r="B44" s="231" t="s">
        <v>92</v>
      </c>
      <c r="C44" s="232"/>
      <c r="D44" s="232"/>
      <c r="E44" s="232"/>
      <c r="F44" s="233"/>
      <c r="G44" s="234" t="s">
        <v>191</v>
      </c>
      <c r="H44" s="235"/>
      <c r="I44" s="235"/>
      <c r="J44" s="235"/>
      <c r="K44" s="235"/>
      <c r="L44" s="235"/>
      <c r="M44" s="235"/>
      <c r="N44" s="235"/>
      <c r="O44" s="235"/>
      <c r="P44" s="235"/>
      <c r="Q44" s="235"/>
      <c r="R44" s="235"/>
      <c r="S44" s="235"/>
      <c r="T44" s="235"/>
      <c r="U44" s="235"/>
      <c r="V44" s="235"/>
      <c r="W44" s="235"/>
      <c r="X44" s="235"/>
      <c r="Y44" s="236"/>
      <c r="AA44" s="106"/>
      <c r="AB44" s="107"/>
      <c r="AC44" s="107"/>
      <c r="AD44" s="108"/>
      <c r="AF44" s="118"/>
      <c r="AG44" s="119"/>
      <c r="AH44" s="120"/>
      <c r="AJ44" s="197"/>
      <c r="AK44" s="198"/>
      <c r="AL44" s="199"/>
      <c r="AM44" s="112"/>
      <c r="AN44" s="113"/>
      <c r="AO44" s="114"/>
      <c r="AP44" s="112"/>
      <c r="AQ44" s="113"/>
      <c r="AR44" s="114"/>
      <c r="AS44" s="112"/>
      <c r="AT44" s="113"/>
      <c r="AU44" s="114"/>
      <c r="AV44" s="197"/>
      <c r="AW44" s="198"/>
      <c r="AX44" s="199"/>
      <c r="AZ44" s="25"/>
      <c r="BA44" s="25"/>
      <c r="BC44" s="59"/>
      <c r="BD44" s="25"/>
      <c r="BE44" s="25"/>
      <c r="BF44" s="25"/>
      <c r="BG44" s="25"/>
      <c r="BI44" s="30"/>
      <c r="BJ44" s="30"/>
      <c r="BK44" s="32">
        <f t="shared" si="8"/>
        <v>1750</v>
      </c>
      <c r="BL44" s="32">
        <f xml:space="preserve"> SUM(8*2*3000)</f>
        <v>48000</v>
      </c>
      <c r="BM44" s="32">
        <f t="shared" si="9"/>
        <v>700</v>
      </c>
      <c r="BN44" s="36"/>
      <c r="BO44" s="171">
        <f t="shared" si="10"/>
        <v>50450</v>
      </c>
      <c r="BP44" s="172"/>
      <c r="BQ44" s="172"/>
      <c r="BR44" s="172"/>
      <c r="BS44" s="173"/>
      <c r="BT44" s="164">
        <f>SUM(100/BO121)*BO44</f>
        <v>0.1948139709999421</v>
      </c>
      <c r="BU44" s="165"/>
      <c r="BV44" s="166"/>
      <c r="BX44" s="106"/>
      <c r="BY44" s="108"/>
      <c r="BZ44" s="106"/>
      <c r="CA44" s="108"/>
      <c r="CB44" s="106"/>
      <c r="CC44" s="108"/>
      <c r="CD44" s="106"/>
      <c r="CE44" s="108"/>
      <c r="CF44" s="189">
        <f t="shared" si="11"/>
        <v>0</v>
      </c>
      <c r="CG44" s="190"/>
    </row>
    <row r="45" spans="2:85" s="9" customFormat="1" ht="24" customHeight="1" x14ac:dyDescent="0.35">
      <c r="B45" s="231" t="s">
        <v>93</v>
      </c>
      <c r="C45" s="232"/>
      <c r="D45" s="232"/>
      <c r="E45" s="232"/>
      <c r="F45" s="233"/>
      <c r="G45" s="234" t="s">
        <v>37</v>
      </c>
      <c r="H45" s="235"/>
      <c r="I45" s="235"/>
      <c r="J45" s="235"/>
      <c r="K45" s="235"/>
      <c r="L45" s="235"/>
      <c r="M45" s="235"/>
      <c r="N45" s="235"/>
      <c r="O45" s="235"/>
      <c r="P45" s="235"/>
      <c r="Q45" s="235"/>
      <c r="R45" s="235"/>
      <c r="S45" s="235"/>
      <c r="T45" s="235"/>
      <c r="U45" s="235"/>
      <c r="V45" s="235"/>
      <c r="W45" s="235"/>
      <c r="X45" s="235"/>
      <c r="Y45" s="236"/>
      <c r="AA45" s="106"/>
      <c r="AB45" s="107"/>
      <c r="AC45" s="107"/>
      <c r="AD45" s="108"/>
      <c r="AF45" s="118"/>
      <c r="AG45" s="119"/>
      <c r="AH45" s="120"/>
      <c r="AJ45" s="197"/>
      <c r="AK45" s="198"/>
      <c r="AL45" s="199"/>
      <c r="AM45" s="112"/>
      <c r="AN45" s="113"/>
      <c r="AO45" s="114"/>
      <c r="AP45" s="112"/>
      <c r="AQ45" s="113"/>
      <c r="AR45" s="114"/>
      <c r="AS45" s="112"/>
      <c r="AT45" s="113"/>
      <c r="AU45" s="114"/>
      <c r="AV45" s="197"/>
      <c r="AW45" s="198"/>
      <c r="AX45" s="199"/>
      <c r="AZ45" s="25"/>
      <c r="BA45" s="25"/>
      <c r="BC45" s="59"/>
      <c r="BD45" s="25"/>
      <c r="BE45" s="25"/>
      <c r="BF45" s="25"/>
      <c r="BG45" s="25"/>
      <c r="BI45" s="32">
        <f>SUM(7*1000)</f>
        <v>7000</v>
      </c>
      <c r="BJ45" s="32">
        <f>SUM(7*1000)</f>
        <v>7000</v>
      </c>
      <c r="BK45" s="32">
        <f>SUM(7*250)</f>
        <v>1750</v>
      </c>
      <c r="BL45" s="32">
        <f xml:space="preserve"> SUM(8*2*3000)</f>
        <v>48000</v>
      </c>
      <c r="BM45" s="32">
        <f>SUM(7*100+7*5000+7*20000)</f>
        <v>175700</v>
      </c>
      <c r="BN45" s="36"/>
      <c r="BO45" s="171">
        <f t="shared" si="10"/>
        <v>239450</v>
      </c>
      <c r="BP45" s="172"/>
      <c r="BQ45" s="172"/>
      <c r="BR45" s="172"/>
      <c r="BS45" s="173"/>
      <c r="BT45" s="168">
        <f>SUM(100/BO121)*BO45</f>
        <v>0.92464232618307496</v>
      </c>
      <c r="BU45" s="169"/>
      <c r="BV45" s="170"/>
      <c r="BX45" s="106"/>
      <c r="BY45" s="108"/>
      <c r="BZ45" s="106"/>
      <c r="CA45" s="108"/>
      <c r="CB45" s="106"/>
      <c r="CC45" s="108"/>
      <c r="CD45" s="106"/>
      <c r="CE45" s="108"/>
      <c r="CF45" s="189">
        <f t="shared" si="11"/>
        <v>0</v>
      </c>
      <c r="CG45" s="190"/>
    </row>
    <row r="46" spans="2:85" s="9" customFormat="1" ht="24" customHeight="1" x14ac:dyDescent="0.35">
      <c r="B46" s="231" t="s">
        <v>94</v>
      </c>
      <c r="C46" s="232"/>
      <c r="D46" s="232"/>
      <c r="E46" s="232"/>
      <c r="F46" s="233"/>
      <c r="G46" s="234" t="s">
        <v>192</v>
      </c>
      <c r="H46" s="235"/>
      <c r="I46" s="235"/>
      <c r="J46" s="235"/>
      <c r="K46" s="235"/>
      <c r="L46" s="235"/>
      <c r="M46" s="235"/>
      <c r="N46" s="235"/>
      <c r="O46" s="235"/>
      <c r="P46" s="235"/>
      <c r="Q46" s="235"/>
      <c r="R46" s="235"/>
      <c r="S46" s="235"/>
      <c r="T46" s="235"/>
      <c r="U46" s="235"/>
      <c r="V46" s="235"/>
      <c r="W46" s="235"/>
      <c r="X46" s="235"/>
      <c r="Y46" s="236"/>
      <c r="AA46" s="106"/>
      <c r="AB46" s="107"/>
      <c r="AC46" s="107"/>
      <c r="AD46" s="108"/>
      <c r="AF46" s="118"/>
      <c r="AG46" s="119"/>
      <c r="AH46" s="120"/>
      <c r="AJ46" s="197"/>
      <c r="AK46" s="198"/>
      <c r="AL46" s="199"/>
      <c r="AM46" s="112"/>
      <c r="AN46" s="113"/>
      <c r="AO46" s="114"/>
      <c r="AP46" s="112"/>
      <c r="AQ46" s="113"/>
      <c r="AR46" s="114"/>
      <c r="AS46" s="112"/>
      <c r="AT46" s="113"/>
      <c r="AU46" s="114"/>
      <c r="AV46" s="197"/>
      <c r="AW46" s="198"/>
      <c r="AX46" s="199"/>
      <c r="AZ46" s="25"/>
      <c r="BA46" s="25"/>
      <c r="BB46" s="25"/>
      <c r="BC46" s="45"/>
      <c r="BD46" s="25"/>
      <c r="BE46" s="25"/>
      <c r="BF46" s="25"/>
      <c r="BG46" s="25"/>
      <c r="BI46" s="32">
        <f>SUM(1*5000+7*1000)</f>
        <v>12000</v>
      </c>
      <c r="BJ46" s="32">
        <f>SUM(1*1*5000)</f>
        <v>5000</v>
      </c>
      <c r="BK46" s="32">
        <f t="shared" si="8"/>
        <v>1750</v>
      </c>
      <c r="BL46" s="32">
        <f xml:space="preserve"> SUM(8*2*3000)</f>
        <v>48000</v>
      </c>
      <c r="BM46" s="32">
        <f t="shared" si="9"/>
        <v>700</v>
      </c>
      <c r="BN46" s="36"/>
      <c r="BO46" s="171">
        <f t="shared" si="10"/>
        <v>67450</v>
      </c>
      <c r="BP46" s="172"/>
      <c r="BQ46" s="172"/>
      <c r="BR46" s="172"/>
      <c r="BS46" s="173"/>
      <c r="BT46" s="164">
        <f>SUM(100/BO121)*BO46</f>
        <v>0.26045990770953609</v>
      </c>
      <c r="BU46" s="165"/>
      <c r="BV46" s="166"/>
      <c r="BX46" s="106"/>
      <c r="BY46" s="108"/>
      <c r="BZ46" s="106"/>
      <c r="CA46" s="108"/>
      <c r="CB46" s="106"/>
      <c r="CC46" s="108"/>
      <c r="CD46" s="106"/>
      <c r="CE46" s="108"/>
      <c r="CF46" s="189">
        <f t="shared" si="11"/>
        <v>0</v>
      </c>
      <c r="CG46" s="190"/>
    </row>
    <row r="47" spans="2:85" s="9" customFormat="1" ht="24" customHeight="1" x14ac:dyDescent="0.35">
      <c r="B47" s="231" t="s">
        <v>95</v>
      </c>
      <c r="C47" s="232"/>
      <c r="D47" s="232"/>
      <c r="E47" s="232"/>
      <c r="F47" s="233"/>
      <c r="G47" s="234" t="s">
        <v>38</v>
      </c>
      <c r="H47" s="235"/>
      <c r="I47" s="235"/>
      <c r="J47" s="235"/>
      <c r="K47" s="235"/>
      <c r="L47" s="235"/>
      <c r="M47" s="235"/>
      <c r="N47" s="235"/>
      <c r="O47" s="235"/>
      <c r="P47" s="235"/>
      <c r="Q47" s="235"/>
      <c r="R47" s="235"/>
      <c r="S47" s="235"/>
      <c r="T47" s="235"/>
      <c r="U47" s="235"/>
      <c r="V47" s="235"/>
      <c r="W47" s="235"/>
      <c r="X47" s="235"/>
      <c r="Y47" s="236"/>
      <c r="AA47" s="106"/>
      <c r="AB47" s="107"/>
      <c r="AC47" s="107"/>
      <c r="AD47" s="108"/>
      <c r="AF47" s="118"/>
      <c r="AG47" s="119"/>
      <c r="AH47" s="120"/>
      <c r="AJ47" s="197"/>
      <c r="AK47" s="198"/>
      <c r="AL47" s="199"/>
      <c r="AM47" s="112"/>
      <c r="AN47" s="113"/>
      <c r="AO47" s="114"/>
      <c r="AP47" s="112"/>
      <c r="AQ47" s="113"/>
      <c r="AR47" s="114"/>
      <c r="AS47" s="112"/>
      <c r="AT47" s="113"/>
      <c r="AU47" s="114"/>
      <c r="AV47" s="112"/>
      <c r="AW47" s="113"/>
      <c r="AX47" s="114"/>
      <c r="AZ47" s="25"/>
      <c r="BA47" s="25"/>
      <c r="BC47" s="25"/>
      <c r="BD47" s="59"/>
      <c r="BG47" s="25"/>
      <c r="BI47" s="32">
        <f t="shared" ref="BI47:BJ54" si="12">SUM(7*500)</f>
        <v>3500</v>
      </c>
      <c r="BJ47" s="32">
        <f t="shared" si="12"/>
        <v>3500</v>
      </c>
      <c r="BK47" s="32">
        <f t="shared" si="8"/>
        <v>1750</v>
      </c>
      <c r="BL47" s="30"/>
      <c r="BM47" s="32">
        <f t="shared" si="9"/>
        <v>700</v>
      </c>
      <c r="BN47" s="36"/>
      <c r="BO47" s="171">
        <f t="shared" si="10"/>
        <v>9450</v>
      </c>
      <c r="BP47" s="172"/>
      <c r="BQ47" s="172"/>
      <c r="BR47" s="172"/>
      <c r="BS47" s="173"/>
      <c r="BT47" s="164">
        <f>SUM(100/BO121)*BO47</f>
        <v>3.6491417759156645E-2</v>
      </c>
      <c r="BU47" s="165"/>
      <c r="BV47" s="166"/>
      <c r="BX47" s="106"/>
      <c r="BY47" s="108"/>
      <c r="BZ47" s="106"/>
      <c r="CA47" s="108"/>
      <c r="CB47" s="106"/>
      <c r="CC47" s="108"/>
      <c r="CD47" s="106"/>
      <c r="CE47" s="108"/>
      <c r="CF47" s="189">
        <f t="shared" si="11"/>
        <v>0</v>
      </c>
      <c r="CG47" s="190"/>
    </row>
    <row r="48" spans="2:85" s="9" customFormat="1" ht="24" customHeight="1" x14ac:dyDescent="0.35">
      <c r="B48" s="231" t="s">
        <v>96</v>
      </c>
      <c r="C48" s="232"/>
      <c r="D48" s="232"/>
      <c r="E48" s="232"/>
      <c r="F48" s="233"/>
      <c r="G48" s="234" t="s">
        <v>39</v>
      </c>
      <c r="H48" s="235"/>
      <c r="I48" s="235"/>
      <c r="J48" s="235"/>
      <c r="K48" s="235"/>
      <c r="L48" s="235"/>
      <c r="M48" s="235"/>
      <c r="N48" s="235"/>
      <c r="O48" s="235"/>
      <c r="P48" s="235"/>
      <c r="Q48" s="235"/>
      <c r="R48" s="235"/>
      <c r="S48" s="235"/>
      <c r="T48" s="235"/>
      <c r="U48" s="235"/>
      <c r="V48" s="235"/>
      <c r="W48" s="235"/>
      <c r="X48" s="235"/>
      <c r="Y48" s="236"/>
      <c r="AA48" s="106"/>
      <c r="AB48" s="107"/>
      <c r="AC48" s="107"/>
      <c r="AD48" s="108"/>
      <c r="AF48" s="177"/>
      <c r="AG48" s="178"/>
      <c r="AH48" s="179"/>
      <c r="AJ48" s="197"/>
      <c r="AK48" s="198"/>
      <c r="AL48" s="199"/>
      <c r="AM48" s="112"/>
      <c r="AN48" s="113"/>
      <c r="AO48" s="114"/>
      <c r="AP48" s="112"/>
      <c r="AQ48" s="113"/>
      <c r="AR48" s="114"/>
      <c r="AS48" s="112"/>
      <c r="AT48" s="113"/>
      <c r="AU48" s="114"/>
      <c r="AV48" s="112"/>
      <c r="AW48" s="113"/>
      <c r="AX48" s="114"/>
      <c r="AZ48" s="25"/>
      <c r="BA48" s="25"/>
      <c r="BC48" s="25"/>
      <c r="BD48" s="59"/>
      <c r="BG48" s="25"/>
      <c r="BI48" s="32">
        <f t="shared" si="12"/>
        <v>3500</v>
      </c>
      <c r="BJ48" s="32">
        <f t="shared" si="12"/>
        <v>3500</v>
      </c>
      <c r="BK48" s="32">
        <f>SUM(7*250)</f>
        <v>1750</v>
      </c>
      <c r="BL48" s="30"/>
      <c r="BM48" s="32">
        <f t="shared" si="9"/>
        <v>700</v>
      </c>
      <c r="BN48" s="36"/>
      <c r="BO48" s="171">
        <f t="shared" si="10"/>
        <v>9450</v>
      </c>
      <c r="BP48" s="172"/>
      <c r="BQ48" s="172"/>
      <c r="BR48" s="172"/>
      <c r="BS48" s="173"/>
      <c r="BT48" s="164">
        <f>SUM(100/BO121)*BO48</f>
        <v>3.6491417759156645E-2</v>
      </c>
      <c r="BU48" s="165"/>
      <c r="BV48" s="166"/>
      <c r="BX48" s="106"/>
      <c r="BY48" s="108"/>
      <c r="BZ48" s="106"/>
      <c r="CA48" s="108"/>
      <c r="CB48" s="106"/>
      <c r="CC48" s="108"/>
      <c r="CD48" s="106"/>
      <c r="CE48" s="108"/>
      <c r="CF48" s="189">
        <f t="shared" si="11"/>
        <v>0</v>
      </c>
      <c r="CG48" s="190"/>
    </row>
    <row r="49" spans="2:85" s="9" customFormat="1" ht="24" customHeight="1" x14ac:dyDescent="0.35">
      <c r="B49" s="231" t="s">
        <v>97</v>
      </c>
      <c r="C49" s="232"/>
      <c r="D49" s="232"/>
      <c r="E49" s="232"/>
      <c r="F49" s="233"/>
      <c r="G49" s="234" t="s">
        <v>40</v>
      </c>
      <c r="H49" s="235"/>
      <c r="I49" s="235"/>
      <c r="J49" s="235"/>
      <c r="K49" s="235"/>
      <c r="L49" s="235"/>
      <c r="M49" s="235"/>
      <c r="N49" s="235"/>
      <c r="O49" s="235"/>
      <c r="P49" s="235"/>
      <c r="Q49" s="235"/>
      <c r="R49" s="235"/>
      <c r="S49" s="235"/>
      <c r="T49" s="235"/>
      <c r="U49" s="235"/>
      <c r="V49" s="235"/>
      <c r="W49" s="235"/>
      <c r="X49" s="235"/>
      <c r="Y49" s="236"/>
      <c r="AA49" s="106"/>
      <c r="AB49" s="107"/>
      <c r="AC49" s="107"/>
      <c r="AD49" s="108"/>
      <c r="AF49" s="118"/>
      <c r="AG49" s="119"/>
      <c r="AH49" s="120"/>
      <c r="AJ49" s="197"/>
      <c r="AK49" s="198"/>
      <c r="AL49" s="199"/>
      <c r="AM49" s="112"/>
      <c r="AN49" s="113"/>
      <c r="AO49" s="114"/>
      <c r="AP49" s="112"/>
      <c r="AQ49" s="113"/>
      <c r="AR49" s="114"/>
      <c r="AS49" s="112"/>
      <c r="AT49" s="113"/>
      <c r="AU49" s="114"/>
      <c r="AV49" s="112"/>
      <c r="AW49" s="113"/>
      <c r="AX49" s="114"/>
      <c r="AZ49" s="25"/>
      <c r="BA49" s="25"/>
      <c r="BC49" s="25"/>
      <c r="BD49" s="59"/>
      <c r="BG49" s="25"/>
      <c r="BI49" s="32">
        <f t="shared" si="12"/>
        <v>3500</v>
      </c>
      <c r="BJ49" s="32">
        <f t="shared" si="12"/>
        <v>3500</v>
      </c>
      <c r="BK49" s="32">
        <f t="shared" si="8"/>
        <v>1750</v>
      </c>
      <c r="BL49" s="30"/>
      <c r="BM49" s="32">
        <f t="shared" si="9"/>
        <v>700</v>
      </c>
      <c r="BN49" s="36"/>
      <c r="BO49" s="171">
        <f t="shared" si="10"/>
        <v>9450</v>
      </c>
      <c r="BP49" s="172"/>
      <c r="BQ49" s="172"/>
      <c r="BR49" s="172"/>
      <c r="BS49" s="173"/>
      <c r="BT49" s="164">
        <f>SUM(100/BO121)*BO49</f>
        <v>3.6491417759156645E-2</v>
      </c>
      <c r="BU49" s="165"/>
      <c r="BV49" s="166"/>
      <c r="BX49" s="106"/>
      <c r="BY49" s="108"/>
      <c r="BZ49" s="106"/>
      <c r="CA49" s="108"/>
      <c r="CB49" s="106"/>
      <c r="CC49" s="108"/>
      <c r="CD49" s="106"/>
      <c r="CE49" s="108"/>
      <c r="CF49" s="189">
        <f t="shared" si="11"/>
        <v>0</v>
      </c>
      <c r="CG49" s="190"/>
    </row>
    <row r="50" spans="2:85" s="9" customFormat="1" ht="24" customHeight="1" x14ac:dyDescent="0.35">
      <c r="B50" s="231" t="s">
        <v>98</v>
      </c>
      <c r="C50" s="232"/>
      <c r="D50" s="232"/>
      <c r="E50" s="232"/>
      <c r="F50" s="233"/>
      <c r="G50" s="234" t="s">
        <v>28</v>
      </c>
      <c r="H50" s="235"/>
      <c r="I50" s="235"/>
      <c r="J50" s="235"/>
      <c r="K50" s="235"/>
      <c r="L50" s="235"/>
      <c r="M50" s="235"/>
      <c r="N50" s="235"/>
      <c r="O50" s="235"/>
      <c r="P50" s="235"/>
      <c r="Q50" s="235"/>
      <c r="R50" s="235"/>
      <c r="S50" s="235"/>
      <c r="T50" s="235"/>
      <c r="U50" s="235"/>
      <c r="V50" s="235"/>
      <c r="W50" s="235"/>
      <c r="X50" s="235"/>
      <c r="Y50" s="236"/>
      <c r="AA50" s="106"/>
      <c r="AB50" s="107"/>
      <c r="AC50" s="107"/>
      <c r="AD50" s="108"/>
      <c r="AF50" s="118"/>
      <c r="AG50" s="119"/>
      <c r="AH50" s="120"/>
      <c r="AJ50" s="197"/>
      <c r="AK50" s="198"/>
      <c r="AL50" s="199"/>
      <c r="AM50" s="112"/>
      <c r="AN50" s="113"/>
      <c r="AO50" s="114"/>
      <c r="AP50" s="112"/>
      <c r="AQ50" s="113"/>
      <c r="AR50" s="114"/>
      <c r="AS50" s="112"/>
      <c r="AT50" s="113"/>
      <c r="AU50" s="114"/>
      <c r="AV50" s="112"/>
      <c r="AW50" s="113"/>
      <c r="AX50" s="114"/>
      <c r="AZ50" s="25"/>
      <c r="BA50" s="25"/>
      <c r="BC50" s="25"/>
      <c r="BD50" s="59"/>
      <c r="BG50" s="25"/>
      <c r="BI50" s="32">
        <f t="shared" si="12"/>
        <v>3500</v>
      </c>
      <c r="BJ50" s="32">
        <f t="shared" si="12"/>
        <v>3500</v>
      </c>
      <c r="BK50" s="32">
        <f t="shared" si="8"/>
        <v>1750</v>
      </c>
      <c r="BL50" s="30"/>
      <c r="BM50" s="32">
        <f t="shared" si="9"/>
        <v>700</v>
      </c>
      <c r="BN50" s="36"/>
      <c r="BO50" s="171">
        <f t="shared" si="10"/>
        <v>9450</v>
      </c>
      <c r="BP50" s="172"/>
      <c r="BQ50" s="172"/>
      <c r="BR50" s="172"/>
      <c r="BS50" s="173"/>
      <c r="BT50" s="164">
        <f>SUM(100/BO121)*BO50</f>
        <v>3.6491417759156645E-2</v>
      </c>
      <c r="BU50" s="165"/>
      <c r="BV50" s="166"/>
      <c r="BX50" s="106"/>
      <c r="BY50" s="108"/>
      <c r="BZ50" s="106"/>
      <c r="CA50" s="108"/>
      <c r="CB50" s="106"/>
      <c r="CC50" s="108"/>
      <c r="CD50" s="106"/>
      <c r="CE50" s="108"/>
      <c r="CF50" s="189">
        <f t="shared" si="11"/>
        <v>0</v>
      </c>
      <c r="CG50" s="190"/>
    </row>
    <row r="51" spans="2:85" s="9" customFormat="1" ht="24" customHeight="1" x14ac:dyDescent="0.35">
      <c r="B51" s="231" t="s">
        <v>99</v>
      </c>
      <c r="C51" s="232"/>
      <c r="D51" s="232"/>
      <c r="E51" s="232"/>
      <c r="F51" s="233"/>
      <c r="G51" s="234" t="s">
        <v>193</v>
      </c>
      <c r="H51" s="235"/>
      <c r="I51" s="235"/>
      <c r="J51" s="235"/>
      <c r="K51" s="235"/>
      <c r="L51" s="235"/>
      <c r="M51" s="235"/>
      <c r="N51" s="235"/>
      <c r="O51" s="235"/>
      <c r="P51" s="235"/>
      <c r="Q51" s="235"/>
      <c r="R51" s="235"/>
      <c r="S51" s="235"/>
      <c r="T51" s="235"/>
      <c r="U51" s="235"/>
      <c r="V51" s="235"/>
      <c r="W51" s="235"/>
      <c r="X51" s="235"/>
      <c r="Y51" s="236"/>
      <c r="AA51" s="106"/>
      <c r="AB51" s="107"/>
      <c r="AC51" s="107"/>
      <c r="AD51" s="108"/>
      <c r="AF51" s="118"/>
      <c r="AG51" s="119"/>
      <c r="AH51" s="120"/>
      <c r="AJ51" s="197"/>
      <c r="AK51" s="198"/>
      <c r="AL51" s="199"/>
      <c r="AM51" s="112"/>
      <c r="AN51" s="113"/>
      <c r="AO51" s="114"/>
      <c r="AP51" s="112"/>
      <c r="AQ51" s="113"/>
      <c r="AR51" s="114"/>
      <c r="AS51" s="112"/>
      <c r="AT51" s="113"/>
      <c r="AU51" s="114"/>
      <c r="AV51" s="112"/>
      <c r="AW51" s="113"/>
      <c r="AX51" s="114"/>
      <c r="AZ51" s="25"/>
      <c r="BA51" s="25"/>
      <c r="BC51" s="25"/>
      <c r="BD51" s="59"/>
      <c r="BG51" s="25"/>
      <c r="BI51" s="32">
        <f>SUM(5000+7*3000+8*3000)</f>
        <v>50000</v>
      </c>
      <c r="BJ51" s="32">
        <f t="shared" si="12"/>
        <v>3500</v>
      </c>
      <c r="BK51" s="32">
        <f t="shared" si="8"/>
        <v>1750</v>
      </c>
      <c r="BL51" s="32">
        <f xml:space="preserve"> SUM(8*2*3000)</f>
        <v>48000</v>
      </c>
      <c r="BM51" s="32">
        <f t="shared" si="9"/>
        <v>700</v>
      </c>
      <c r="BN51" s="36"/>
      <c r="BO51" s="171">
        <f t="shared" si="10"/>
        <v>103950</v>
      </c>
      <c r="BP51" s="172"/>
      <c r="BQ51" s="172"/>
      <c r="BR51" s="172"/>
      <c r="BS51" s="173"/>
      <c r="BT51" s="164">
        <f>SUM(100/BO121)*BO51</f>
        <v>0.40140559535072312</v>
      </c>
      <c r="BU51" s="165"/>
      <c r="BV51" s="166"/>
      <c r="BX51" s="106"/>
      <c r="BY51" s="108"/>
      <c r="BZ51" s="106"/>
      <c r="CA51" s="108"/>
      <c r="CB51" s="106"/>
      <c r="CC51" s="108"/>
      <c r="CD51" s="106"/>
      <c r="CE51" s="108"/>
      <c r="CF51" s="189">
        <f t="shared" si="11"/>
        <v>0</v>
      </c>
      <c r="CG51" s="190"/>
    </row>
    <row r="52" spans="2:85" s="9" customFormat="1" ht="24" customHeight="1" x14ac:dyDescent="0.35">
      <c r="B52" s="231" t="s">
        <v>100</v>
      </c>
      <c r="C52" s="232"/>
      <c r="D52" s="232"/>
      <c r="E52" s="232"/>
      <c r="F52" s="233"/>
      <c r="G52" s="234" t="s">
        <v>29</v>
      </c>
      <c r="H52" s="235"/>
      <c r="I52" s="235"/>
      <c r="J52" s="235"/>
      <c r="K52" s="235"/>
      <c r="L52" s="235"/>
      <c r="M52" s="235"/>
      <c r="N52" s="235"/>
      <c r="O52" s="235"/>
      <c r="P52" s="235"/>
      <c r="Q52" s="235"/>
      <c r="R52" s="235"/>
      <c r="S52" s="235"/>
      <c r="T52" s="235"/>
      <c r="U52" s="235"/>
      <c r="V52" s="235"/>
      <c r="W52" s="235"/>
      <c r="X52" s="235"/>
      <c r="Y52" s="236"/>
      <c r="AA52" s="106"/>
      <c r="AB52" s="107"/>
      <c r="AC52" s="107"/>
      <c r="AD52" s="108"/>
      <c r="AF52" s="118"/>
      <c r="AG52" s="119"/>
      <c r="AH52" s="120"/>
      <c r="AJ52" s="197"/>
      <c r="AK52" s="198"/>
      <c r="AL52" s="199"/>
      <c r="AM52" s="112"/>
      <c r="AN52" s="113"/>
      <c r="AO52" s="114"/>
      <c r="AP52" s="112"/>
      <c r="AQ52" s="113"/>
      <c r="AR52" s="114"/>
      <c r="AS52" s="112"/>
      <c r="AT52" s="113"/>
      <c r="AU52" s="114"/>
      <c r="AV52" s="112"/>
      <c r="AW52" s="113"/>
      <c r="AX52" s="114"/>
      <c r="AZ52" s="25"/>
      <c r="BA52" s="25"/>
      <c r="BC52" s="25"/>
      <c r="BD52" s="59"/>
      <c r="BG52" s="25"/>
      <c r="BI52" s="32">
        <f>SUM(5000+5000+7*3000+8*3000)</f>
        <v>55000</v>
      </c>
      <c r="BJ52" s="32">
        <f t="shared" si="12"/>
        <v>3500</v>
      </c>
      <c r="BK52" s="32">
        <f t="shared" si="8"/>
        <v>1750</v>
      </c>
      <c r="BL52" s="32">
        <f xml:space="preserve"> SUM(8*2*3000)</f>
        <v>48000</v>
      </c>
      <c r="BM52" s="32">
        <f t="shared" si="9"/>
        <v>700</v>
      </c>
      <c r="BN52" s="36"/>
      <c r="BO52" s="171">
        <f t="shared" si="10"/>
        <v>108950</v>
      </c>
      <c r="BP52" s="172"/>
      <c r="BQ52" s="172"/>
      <c r="BR52" s="172"/>
      <c r="BS52" s="173"/>
      <c r="BT52" s="164">
        <f>SUM(100/BO121)*BO52</f>
        <v>0.42071322379472131</v>
      </c>
      <c r="BU52" s="165"/>
      <c r="BV52" s="166"/>
      <c r="BX52" s="106"/>
      <c r="BY52" s="108"/>
      <c r="BZ52" s="106"/>
      <c r="CA52" s="108"/>
      <c r="CB52" s="106"/>
      <c r="CC52" s="108"/>
      <c r="CD52" s="106"/>
      <c r="CE52" s="108"/>
      <c r="CF52" s="189">
        <f t="shared" si="11"/>
        <v>0</v>
      </c>
      <c r="CG52" s="190"/>
    </row>
    <row r="53" spans="2:85" s="9" customFormat="1" ht="24" customHeight="1" x14ac:dyDescent="0.35">
      <c r="B53" s="231" t="s">
        <v>101</v>
      </c>
      <c r="C53" s="232"/>
      <c r="D53" s="232"/>
      <c r="E53" s="232"/>
      <c r="F53" s="233"/>
      <c r="G53" s="234" t="s">
        <v>12</v>
      </c>
      <c r="H53" s="235"/>
      <c r="I53" s="235"/>
      <c r="J53" s="235"/>
      <c r="K53" s="235"/>
      <c r="L53" s="235"/>
      <c r="M53" s="235"/>
      <c r="N53" s="235"/>
      <c r="O53" s="235"/>
      <c r="P53" s="235"/>
      <c r="Q53" s="235"/>
      <c r="R53" s="235"/>
      <c r="S53" s="235"/>
      <c r="T53" s="235"/>
      <c r="U53" s="235"/>
      <c r="V53" s="235"/>
      <c r="W53" s="235"/>
      <c r="X53" s="235"/>
      <c r="Y53" s="236"/>
      <c r="AA53" s="106"/>
      <c r="AB53" s="107"/>
      <c r="AC53" s="107"/>
      <c r="AD53" s="108"/>
      <c r="AF53" s="118"/>
      <c r="AG53" s="119"/>
      <c r="AH53" s="120"/>
      <c r="AJ53" s="197"/>
      <c r="AK53" s="198"/>
      <c r="AL53" s="199"/>
      <c r="AM53" s="112"/>
      <c r="AN53" s="113"/>
      <c r="AO53" s="114"/>
      <c r="AP53" s="112"/>
      <c r="AQ53" s="113"/>
      <c r="AR53" s="114"/>
      <c r="AS53" s="112"/>
      <c r="AT53" s="113"/>
      <c r="AU53" s="114"/>
      <c r="AV53" s="112"/>
      <c r="AW53" s="113"/>
      <c r="AX53" s="114"/>
      <c r="AZ53" s="25"/>
      <c r="BA53" s="25"/>
      <c r="BC53" s="25"/>
      <c r="BD53" s="59"/>
      <c r="BG53" s="25"/>
      <c r="BI53" s="32">
        <f>SUM(7*3000+8*3000)</f>
        <v>45000</v>
      </c>
      <c r="BJ53" s="32">
        <f t="shared" si="12"/>
        <v>3500</v>
      </c>
      <c r="BK53" s="32">
        <f t="shared" si="8"/>
        <v>1750</v>
      </c>
      <c r="BL53" s="32">
        <f xml:space="preserve"> SUM(8*2*3000)</f>
        <v>48000</v>
      </c>
      <c r="BM53" s="32">
        <f t="shared" si="9"/>
        <v>700</v>
      </c>
      <c r="BN53" s="36"/>
      <c r="BO53" s="171">
        <f t="shared" si="10"/>
        <v>98950</v>
      </c>
      <c r="BP53" s="172"/>
      <c r="BQ53" s="172"/>
      <c r="BR53" s="172"/>
      <c r="BS53" s="173"/>
      <c r="BT53" s="164">
        <f>SUM(100/BO121)*BO53</f>
        <v>0.38209796690672487</v>
      </c>
      <c r="BU53" s="165"/>
      <c r="BV53" s="166"/>
      <c r="BX53" s="106"/>
      <c r="BY53" s="108"/>
      <c r="BZ53" s="106"/>
      <c r="CA53" s="108"/>
      <c r="CB53" s="106"/>
      <c r="CC53" s="108"/>
      <c r="CD53" s="106"/>
      <c r="CE53" s="108"/>
      <c r="CF53" s="189">
        <f t="shared" si="11"/>
        <v>0</v>
      </c>
      <c r="CG53" s="190"/>
    </row>
    <row r="54" spans="2:85" s="9" customFormat="1" ht="24" customHeight="1" x14ac:dyDescent="0.35">
      <c r="B54" s="231" t="s">
        <v>102</v>
      </c>
      <c r="C54" s="232"/>
      <c r="D54" s="232"/>
      <c r="E54" s="232"/>
      <c r="F54" s="233"/>
      <c r="G54" s="234" t="s">
        <v>13</v>
      </c>
      <c r="H54" s="235"/>
      <c r="I54" s="235"/>
      <c r="J54" s="235"/>
      <c r="K54" s="235"/>
      <c r="L54" s="235"/>
      <c r="M54" s="235"/>
      <c r="N54" s="235"/>
      <c r="O54" s="235"/>
      <c r="P54" s="235"/>
      <c r="Q54" s="235"/>
      <c r="R54" s="235"/>
      <c r="S54" s="235"/>
      <c r="T54" s="235"/>
      <c r="U54" s="235"/>
      <c r="V54" s="235"/>
      <c r="W54" s="235"/>
      <c r="X54" s="235"/>
      <c r="Y54" s="236"/>
      <c r="AA54" s="106"/>
      <c r="AB54" s="107"/>
      <c r="AC54" s="107"/>
      <c r="AD54" s="108"/>
      <c r="AF54" s="118"/>
      <c r="AG54" s="119"/>
      <c r="AH54" s="120"/>
      <c r="AJ54" s="197"/>
      <c r="AK54" s="198"/>
      <c r="AL54" s="199"/>
      <c r="AM54" s="112"/>
      <c r="AN54" s="113"/>
      <c r="AO54" s="114"/>
      <c r="AP54" s="112"/>
      <c r="AQ54" s="113"/>
      <c r="AR54" s="114"/>
      <c r="AS54" s="112"/>
      <c r="AT54" s="113"/>
      <c r="AU54" s="114"/>
      <c r="AV54" s="112"/>
      <c r="AW54" s="113"/>
      <c r="AX54" s="114"/>
      <c r="AZ54" s="25"/>
      <c r="BA54" s="25"/>
      <c r="BC54" s="25"/>
      <c r="BD54" s="59"/>
      <c r="BG54" s="25"/>
      <c r="BI54" s="32">
        <f>SUM(5000+7*1000+7*1000+7*3000+8*3000)</f>
        <v>64000</v>
      </c>
      <c r="BJ54" s="32">
        <f t="shared" si="12"/>
        <v>3500</v>
      </c>
      <c r="BK54" s="32">
        <f t="shared" si="8"/>
        <v>1750</v>
      </c>
      <c r="BL54" s="32">
        <f xml:space="preserve"> SUM(8*2*3000)</f>
        <v>48000</v>
      </c>
      <c r="BM54" s="32">
        <f t="shared" si="9"/>
        <v>700</v>
      </c>
      <c r="BN54" s="36"/>
      <c r="BO54" s="171">
        <f t="shared" si="10"/>
        <v>117950</v>
      </c>
      <c r="BP54" s="172"/>
      <c r="BQ54" s="172"/>
      <c r="BR54" s="172"/>
      <c r="BS54" s="173"/>
      <c r="BT54" s="164">
        <f>SUM(100/BO121)*BO54</f>
        <v>0.45546695499391815</v>
      </c>
      <c r="BU54" s="165"/>
      <c r="BV54" s="166"/>
      <c r="BX54" s="106"/>
      <c r="BY54" s="108"/>
      <c r="BZ54" s="106"/>
      <c r="CA54" s="108"/>
      <c r="CB54" s="106"/>
      <c r="CC54" s="108"/>
      <c r="CD54" s="106"/>
      <c r="CE54" s="108"/>
      <c r="CF54" s="189">
        <f t="shared" si="11"/>
        <v>0</v>
      </c>
      <c r="CG54" s="190"/>
    </row>
    <row r="55" spans="2:85" ht="4.5" customHeight="1" x14ac:dyDescent="0.35">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30"/>
      <c r="BJ55" s="30"/>
      <c r="BK55" s="30"/>
      <c r="BL55" s="30"/>
      <c r="BM55" s="30"/>
      <c r="BN55" s="30"/>
      <c r="BO55" s="30"/>
      <c r="BP55" s="30"/>
      <c r="BQ55" s="30"/>
      <c r="BR55" s="30"/>
      <c r="BS55" s="30"/>
      <c r="BT55" s="41"/>
      <c r="BU55" s="42"/>
      <c r="BV55" s="42"/>
      <c r="BW55" s="9"/>
      <c r="BX55" s="8"/>
      <c r="BY55" s="8"/>
      <c r="BZ55" s="8"/>
      <c r="CA55" s="8"/>
      <c r="CB55" s="8"/>
      <c r="CC55" s="8"/>
      <c r="CD55" s="8"/>
      <c r="CE55" s="8"/>
      <c r="CF55" s="8"/>
      <c r="CG55" s="8"/>
    </row>
    <row r="56" spans="2:85" s="9" customFormat="1" ht="24" customHeight="1" x14ac:dyDescent="0.35">
      <c r="B56" s="194" t="s">
        <v>89</v>
      </c>
      <c r="C56" s="195"/>
      <c r="D56" s="195"/>
      <c r="E56" s="195"/>
      <c r="F56" s="196"/>
      <c r="G56" s="103" t="s">
        <v>103</v>
      </c>
      <c r="H56" s="104"/>
      <c r="I56" s="104"/>
      <c r="J56" s="104"/>
      <c r="K56" s="104"/>
      <c r="L56" s="104"/>
      <c r="M56" s="104"/>
      <c r="N56" s="104"/>
      <c r="O56" s="104"/>
      <c r="P56" s="104"/>
      <c r="Q56" s="104"/>
      <c r="R56" s="104"/>
      <c r="S56" s="104"/>
      <c r="T56" s="104"/>
      <c r="U56" s="104"/>
      <c r="V56" s="104"/>
      <c r="W56" s="104"/>
      <c r="X56" s="104"/>
      <c r="Y56" s="105"/>
      <c r="Z56" s="8"/>
      <c r="AA56" s="189">
        <f>SUM(AA43:AA54)</f>
        <v>0</v>
      </c>
      <c r="AB56" s="201"/>
      <c r="AC56" s="201"/>
      <c r="AD56" s="190"/>
      <c r="AE56" s="8"/>
      <c r="AF56" s="174">
        <f>MEDIAN(AF43:AF54)</f>
        <v>0</v>
      </c>
      <c r="AG56" s="175"/>
      <c r="AH56" s="176"/>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56">
        <f t="shared" ref="BI56:BN56" si="13">SUM(BI43:BI54)</f>
        <v>252000</v>
      </c>
      <c r="BJ56" s="56">
        <f t="shared" si="13"/>
        <v>45000</v>
      </c>
      <c r="BK56" s="56">
        <f t="shared" si="13"/>
        <v>21000</v>
      </c>
      <c r="BL56" s="56">
        <f t="shared" si="13"/>
        <v>384000</v>
      </c>
      <c r="BM56" s="56">
        <f t="shared" si="13"/>
        <v>183400</v>
      </c>
      <c r="BN56" s="56">
        <f t="shared" si="13"/>
        <v>0</v>
      </c>
      <c r="BO56" s="171">
        <f>SUM(BI56+BJ56+BK56+BL56+BM56+BN56)</f>
        <v>885400</v>
      </c>
      <c r="BP56" s="172"/>
      <c r="BQ56" s="172"/>
      <c r="BR56" s="172"/>
      <c r="BS56" s="173"/>
      <c r="BT56" s="164">
        <f>SUM(100/BO121)*BO56</f>
        <v>3.4189948448632057</v>
      </c>
      <c r="BU56" s="165"/>
      <c r="BV56" s="166"/>
      <c r="BW56" s="8"/>
      <c r="BX56" s="174">
        <f>SUM(BX43:BX54)</f>
        <v>0</v>
      </c>
      <c r="BY56" s="176"/>
      <c r="BZ56" s="174">
        <f>SUM(BZ43:BZ54)</f>
        <v>0</v>
      </c>
      <c r="CA56" s="176"/>
      <c r="CB56" s="174">
        <f>SUM(CB43:CB54)</f>
        <v>0</v>
      </c>
      <c r="CC56" s="176"/>
      <c r="CD56" s="174">
        <f>SUM(CD43:CD54)</f>
        <v>0</v>
      </c>
      <c r="CE56" s="176"/>
      <c r="CF56" s="174">
        <f>SUM(CF43:CF54)</f>
        <v>0</v>
      </c>
      <c r="CG56" s="176"/>
    </row>
    <row r="57" spans="2:85" ht="4.5" customHeight="1" x14ac:dyDescent="0.35">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8"/>
      <c r="BY57" s="8"/>
      <c r="BZ57" s="8"/>
      <c r="CA57" s="8"/>
      <c r="CB57" s="8"/>
      <c r="CC57" s="8"/>
      <c r="CD57" s="8"/>
      <c r="CE57" s="8"/>
      <c r="CF57" s="8"/>
      <c r="CG57" s="8"/>
    </row>
    <row r="58" spans="2:85" ht="4.5" customHeight="1" x14ac:dyDescent="0.35">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8"/>
      <c r="BY58" s="8"/>
      <c r="BZ58" s="8"/>
      <c r="CA58" s="8"/>
      <c r="CB58" s="8"/>
      <c r="CC58" s="8"/>
      <c r="CD58" s="8"/>
      <c r="CE58" s="8"/>
      <c r="CF58" s="8"/>
      <c r="CG58" s="8"/>
    </row>
    <row r="59" spans="2:85" s="9" customFormat="1" ht="24" customHeight="1" x14ac:dyDescent="0.35">
      <c r="B59" s="194" t="s">
        <v>104</v>
      </c>
      <c r="C59" s="195"/>
      <c r="D59" s="195"/>
      <c r="E59" s="195"/>
      <c r="F59" s="196"/>
      <c r="G59" s="194" t="s">
        <v>90</v>
      </c>
      <c r="H59" s="195"/>
      <c r="I59" s="195"/>
      <c r="J59" s="195"/>
      <c r="K59" s="195"/>
      <c r="L59" s="195"/>
      <c r="M59" s="195"/>
      <c r="N59" s="195"/>
      <c r="O59" s="195"/>
      <c r="P59" s="195"/>
      <c r="Q59" s="195"/>
      <c r="R59" s="195"/>
      <c r="S59" s="195"/>
      <c r="T59" s="195"/>
      <c r="U59" s="195"/>
      <c r="V59" s="195"/>
      <c r="W59" s="195"/>
      <c r="X59" s="195"/>
      <c r="Y59" s="196"/>
      <c r="BX59" s="191"/>
      <c r="BY59" s="191"/>
      <c r="BZ59" s="191"/>
      <c r="CA59" s="191"/>
      <c r="CB59" s="191"/>
      <c r="CC59" s="191"/>
      <c r="CD59" s="191"/>
      <c r="CE59" s="191"/>
      <c r="CF59" s="191"/>
      <c r="CG59" s="191"/>
    </row>
    <row r="60" spans="2:85" s="9" customFormat="1" ht="24" customHeight="1" x14ac:dyDescent="0.35">
      <c r="B60" s="109" t="s">
        <v>105</v>
      </c>
      <c r="C60" s="110"/>
      <c r="D60" s="110"/>
      <c r="E60" s="110"/>
      <c r="F60" s="111"/>
      <c r="G60" s="234" t="s">
        <v>194</v>
      </c>
      <c r="H60" s="235"/>
      <c r="I60" s="235"/>
      <c r="J60" s="235"/>
      <c r="K60" s="235"/>
      <c r="L60" s="235"/>
      <c r="M60" s="235"/>
      <c r="N60" s="235"/>
      <c r="O60" s="235"/>
      <c r="P60" s="235"/>
      <c r="Q60" s="235"/>
      <c r="R60" s="235"/>
      <c r="S60" s="235"/>
      <c r="T60" s="235"/>
      <c r="U60" s="235"/>
      <c r="V60" s="235"/>
      <c r="W60" s="235"/>
      <c r="X60" s="235"/>
      <c r="Y60" s="236"/>
      <c r="AA60" s="106"/>
      <c r="AB60" s="107"/>
      <c r="AC60" s="107"/>
      <c r="AD60" s="108"/>
      <c r="AF60" s="118">
        <v>0</v>
      </c>
      <c r="AG60" s="119"/>
      <c r="AH60" s="120"/>
      <c r="AJ60" s="197"/>
      <c r="AK60" s="198"/>
      <c r="AL60" s="199"/>
      <c r="AM60" s="112"/>
      <c r="AN60" s="113"/>
      <c r="AO60" s="114"/>
      <c r="AP60" s="112"/>
      <c r="AQ60" s="113"/>
      <c r="AR60" s="114"/>
      <c r="AS60" s="112"/>
      <c r="AT60" s="113"/>
      <c r="AU60" s="114"/>
      <c r="AV60" s="112"/>
      <c r="AW60" s="113"/>
      <c r="AX60" s="114"/>
      <c r="AZ60" s="25"/>
      <c r="BA60" s="25"/>
      <c r="BC60" s="25"/>
      <c r="BD60" s="25"/>
      <c r="BG60" s="25"/>
      <c r="BI60" s="32">
        <f>SUM(5000+7*1000+8*3000)</f>
        <v>36000</v>
      </c>
      <c r="BJ60" s="32">
        <f t="shared" ref="BJ60" si="14">SUM(7*500)</f>
        <v>3500</v>
      </c>
      <c r="BK60" s="32">
        <f t="shared" ref="BK60:BK62" si="15">SUM(7*250)</f>
        <v>1750</v>
      </c>
      <c r="BL60" s="32">
        <f xml:space="preserve"> SUM(8*2*3000)</f>
        <v>48000</v>
      </c>
      <c r="BM60" s="32">
        <f t="shared" ref="BM60:BM62" si="16">SUM(7*100)</f>
        <v>700</v>
      </c>
      <c r="BN60" s="36"/>
      <c r="BO60" s="171">
        <f t="shared" ref="BO60" si="17">SUM(BI60+BJ60+BK60+BL60+BM60+BN60)</f>
        <v>89950</v>
      </c>
      <c r="BP60" s="172"/>
      <c r="BQ60" s="172"/>
      <c r="BR60" s="172"/>
      <c r="BS60" s="173"/>
      <c r="BT60" s="164">
        <f>SUM(100/BO121)*BO60</f>
        <v>0.34734423570752809</v>
      </c>
      <c r="BU60" s="165"/>
      <c r="BV60" s="166"/>
      <c r="BX60" s="106"/>
      <c r="BY60" s="108"/>
      <c r="BZ60" s="106"/>
      <c r="CA60" s="108"/>
      <c r="CB60" s="106"/>
      <c r="CC60" s="108"/>
      <c r="CD60" s="106"/>
      <c r="CE60" s="108"/>
      <c r="CF60" s="189">
        <f>SUM(BX60+BZ60+CB60+CD60)</f>
        <v>0</v>
      </c>
      <c r="CG60" s="190"/>
    </row>
    <row r="61" spans="2:85" s="9" customFormat="1" ht="24" customHeight="1" x14ac:dyDescent="0.35">
      <c r="B61" s="109" t="s">
        <v>106</v>
      </c>
      <c r="C61" s="110"/>
      <c r="D61" s="110"/>
      <c r="E61" s="110"/>
      <c r="F61" s="111"/>
      <c r="G61" s="234" t="s">
        <v>214</v>
      </c>
      <c r="H61" s="235"/>
      <c r="I61" s="235"/>
      <c r="J61" s="235"/>
      <c r="K61" s="235"/>
      <c r="L61" s="235"/>
      <c r="M61" s="235"/>
      <c r="N61" s="235"/>
      <c r="O61" s="235"/>
      <c r="P61" s="235"/>
      <c r="Q61" s="235"/>
      <c r="R61" s="235"/>
      <c r="S61" s="235"/>
      <c r="T61" s="235"/>
      <c r="U61" s="235"/>
      <c r="V61" s="235"/>
      <c r="W61" s="235"/>
      <c r="X61" s="235"/>
      <c r="Y61" s="236"/>
      <c r="AA61" s="106"/>
      <c r="AB61" s="107"/>
      <c r="AC61" s="107"/>
      <c r="AD61" s="108"/>
      <c r="AF61" s="118"/>
      <c r="AG61" s="119"/>
      <c r="AH61" s="120"/>
      <c r="AJ61" s="197"/>
      <c r="AK61" s="198"/>
      <c r="AL61" s="199"/>
      <c r="AM61" s="112"/>
      <c r="AN61" s="113"/>
      <c r="AO61" s="114"/>
      <c r="AP61" s="112"/>
      <c r="AQ61" s="113"/>
      <c r="AR61" s="114"/>
      <c r="AS61" s="112"/>
      <c r="AT61" s="113"/>
      <c r="AU61" s="114"/>
      <c r="AV61" s="112"/>
      <c r="AW61" s="113"/>
      <c r="AX61" s="114"/>
      <c r="AZ61" s="25"/>
      <c r="BA61" s="25"/>
      <c r="BC61" s="25"/>
      <c r="BD61" s="25"/>
      <c r="BG61" s="25"/>
      <c r="BI61" s="32">
        <f>SUM(5000+8*3000)</f>
        <v>29000</v>
      </c>
      <c r="BJ61" s="32">
        <f>SUM(7*3000)</f>
        <v>21000</v>
      </c>
      <c r="BK61" s="32">
        <f t="shared" si="15"/>
        <v>1750</v>
      </c>
      <c r="BL61" s="32">
        <f xml:space="preserve"> SUM(8*2*3000)</f>
        <v>48000</v>
      </c>
      <c r="BM61" s="32">
        <f t="shared" si="16"/>
        <v>700</v>
      </c>
      <c r="BN61" s="36"/>
      <c r="BO61" s="171">
        <f t="shared" ref="BO61" si="18">SUM(BI61+BJ61+BK61+BL61+BM61+BN61)</f>
        <v>100450</v>
      </c>
      <c r="BP61" s="172"/>
      <c r="BQ61" s="172"/>
      <c r="BR61" s="172"/>
      <c r="BS61" s="173"/>
      <c r="BT61" s="164">
        <f>SUM(100/BO121)*BO61</f>
        <v>0.38789025543992434</v>
      </c>
      <c r="BU61" s="165"/>
      <c r="BV61" s="166"/>
      <c r="BX61" s="106"/>
      <c r="BY61" s="108"/>
      <c r="BZ61" s="106"/>
      <c r="CA61" s="108"/>
      <c r="CB61" s="106"/>
      <c r="CC61" s="108"/>
      <c r="CD61" s="106"/>
      <c r="CE61" s="108"/>
      <c r="CF61" s="189">
        <f>SUM(BX61+BZ61+CB61+CD61)</f>
        <v>0</v>
      </c>
      <c r="CG61" s="190"/>
    </row>
    <row r="62" spans="2:85" s="9" customFormat="1" ht="24" customHeight="1" x14ac:dyDescent="0.35">
      <c r="B62" s="109" t="s">
        <v>107</v>
      </c>
      <c r="C62" s="110"/>
      <c r="D62" s="110"/>
      <c r="E62" s="110"/>
      <c r="F62" s="111"/>
      <c r="G62" s="234" t="s">
        <v>41</v>
      </c>
      <c r="H62" s="235"/>
      <c r="I62" s="235"/>
      <c r="J62" s="235"/>
      <c r="K62" s="235"/>
      <c r="L62" s="235"/>
      <c r="M62" s="235"/>
      <c r="N62" s="235"/>
      <c r="O62" s="235"/>
      <c r="P62" s="235"/>
      <c r="Q62" s="235"/>
      <c r="R62" s="235"/>
      <c r="S62" s="235"/>
      <c r="T62" s="235"/>
      <c r="U62" s="235"/>
      <c r="V62" s="235"/>
      <c r="W62" s="235"/>
      <c r="X62" s="235"/>
      <c r="Y62" s="236"/>
      <c r="AA62" s="106"/>
      <c r="AB62" s="107"/>
      <c r="AC62" s="107"/>
      <c r="AD62" s="108"/>
      <c r="AF62" s="118"/>
      <c r="AG62" s="119"/>
      <c r="AH62" s="120"/>
      <c r="AJ62" s="197"/>
      <c r="AK62" s="198"/>
      <c r="AL62" s="199"/>
      <c r="AM62" s="112"/>
      <c r="AN62" s="113"/>
      <c r="AO62" s="114"/>
      <c r="AP62" s="112"/>
      <c r="AQ62" s="113"/>
      <c r="AR62" s="114"/>
      <c r="AS62" s="112"/>
      <c r="AT62" s="113"/>
      <c r="AU62" s="114"/>
      <c r="AV62" s="112"/>
      <c r="AW62" s="113"/>
      <c r="AX62" s="114"/>
      <c r="AZ62" s="25"/>
      <c r="BA62" s="25"/>
      <c r="BB62" s="59"/>
      <c r="BC62" s="25"/>
      <c r="BD62" s="25"/>
      <c r="BG62" s="25"/>
      <c r="BI62" s="32">
        <f>SUM(5000+8*3000)</f>
        <v>29000</v>
      </c>
      <c r="BJ62" s="32">
        <f>SUM(7*3000)</f>
        <v>21000</v>
      </c>
      <c r="BK62" s="32">
        <f t="shared" si="15"/>
        <v>1750</v>
      </c>
      <c r="BL62" s="32">
        <f xml:space="preserve"> SUM(8*2*3000)</f>
        <v>48000</v>
      </c>
      <c r="BM62" s="32">
        <f t="shared" si="16"/>
        <v>700</v>
      </c>
      <c r="BN62" s="36"/>
      <c r="BO62" s="171">
        <f t="shared" ref="BO62" si="19">SUM(BI62+BJ62+BK62+BL62+BM62+BN62)</f>
        <v>100450</v>
      </c>
      <c r="BP62" s="172"/>
      <c r="BQ62" s="172"/>
      <c r="BR62" s="172"/>
      <c r="BS62" s="173"/>
      <c r="BT62" s="164">
        <f>SUM(100/BO121)*BO62</f>
        <v>0.38789025543992434</v>
      </c>
      <c r="BU62" s="165"/>
      <c r="BV62" s="166"/>
      <c r="BX62" s="106"/>
      <c r="BY62" s="108"/>
      <c r="BZ62" s="106"/>
      <c r="CA62" s="108"/>
      <c r="CB62" s="106"/>
      <c r="CC62" s="108"/>
      <c r="CD62" s="106"/>
      <c r="CE62" s="108"/>
      <c r="CF62" s="189">
        <f>SUM(BX62+BZ62+CB62+CD62)</f>
        <v>0</v>
      </c>
      <c r="CG62" s="190"/>
    </row>
    <row r="63" spans="2:85" ht="4.5" customHeight="1" x14ac:dyDescent="0.35">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43"/>
      <c r="BU63" s="43"/>
      <c r="BV63" s="43"/>
      <c r="BW63" s="9"/>
      <c r="BX63" s="8"/>
      <c r="BY63" s="8"/>
      <c r="BZ63" s="8"/>
      <c r="CA63" s="8"/>
      <c r="CB63" s="8"/>
      <c r="CC63" s="8"/>
      <c r="CD63" s="8"/>
      <c r="CE63" s="8"/>
      <c r="CF63" s="8"/>
      <c r="CG63" s="8"/>
    </row>
    <row r="64" spans="2:85" s="9" customFormat="1" ht="24" customHeight="1" x14ac:dyDescent="0.35">
      <c r="B64" s="194" t="s">
        <v>104</v>
      </c>
      <c r="C64" s="195"/>
      <c r="D64" s="195"/>
      <c r="E64" s="195"/>
      <c r="F64" s="196"/>
      <c r="G64" s="103" t="s">
        <v>103</v>
      </c>
      <c r="H64" s="104"/>
      <c r="I64" s="104"/>
      <c r="J64" s="104"/>
      <c r="K64" s="104"/>
      <c r="L64" s="104"/>
      <c r="M64" s="104"/>
      <c r="N64" s="104"/>
      <c r="O64" s="104"/>
      <c r="P64" s="104"/>
      <c r="Q64" s="104"/>
      <c r="R64" s="104"/>
      <c r="S64" s="104"/>
      <c r="T64" s="104"/>
      <c r="U64" s="104"/>
      <c r="V64" s="104"/>
      <c r="W64" s="104"/>
      <c r="X64" s="104"/>
      <c r="Y64" s="105"/>
      <c r="Z64" s="8"/>
      <c r="AA64" s="189">
        <f>SUM(AA60:AA62)</f>
        <v>0</v>
      </c>
      <c r="AB64" s="201"/>
      <c r="AC64" s="201"/>
      <c r="AD64" s="190"/>
      <c r="AE64" s="8"/>
      <c r="AF64" s="174">
        <f>MEDIAN(AF60:AF62)</f>
        <v>0</v>
      </c>
      <c r="AG64" s="175"/>
      <c r="AH64" s="176"/>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56">
        <f t="shared" ref="BI64:BN64" si="20">SUM(BI60:BI62)</f>
        <v>94000</v>
      </c>
      <c r="BJ64" s="56">
        <f t="shared" si="20"/>
        <v>45500</v>
      </c>
      <c r="BK64" s="56">
        <f t="shared" si="20"/>
        <v>5250</v>
      </c>
      <c r="BL64" s="56">
        <f t="shared" si="20"/>
        <v>144000</v>
      </c>
      <c r="BM64" s="56">
        <f t="shared" si="20"/>
        <v>2100</v>
      </c>
      <c r="BN64" s="56">
        <f t="shared" si="20"/>
        <v>0</v>
      </c>
      <c r="BO64" s="171">
        <f>SUM(BI64+BJ64+BK64+BL64+BM64+BN64)</f>
        <v>290850</v>
      </c>
      <c r="BP64" s="172"/>
      <c r="BQ64" s="172"/>
      <c r="BR64" s="172"/>
      <c r="BS64" s="173"/>
      <c r="BT64" s="164">
        <f>SUM(100/BO121)*BO64</f>
        <v>1.1231247465873768</v>
      </c>
      <c r="BU64" s="165"/>
      <c r="BV64" s="166"/>
      <c r="BW64" s="8"/>
      <c r="BX64" s="174">
        <f>SUM(BX60:BX62)</f>
        <v>0</v>
      </c>
      <c r="BY64" s="176"/>
      <c r="BZ64" s="174">
        <f>SUM(BZ60:BZ62)</f>
        <v>0</v>
      </c>
      <c r="CA64" s="176"/>
      <c r="CB64" s="174">
        <f>SUM(CB60:CB62)</f>
        <v>0</v>
      </c>
      <c r="CC64" s="176"/>
      <c r="CD64" s="174">
        <f>SUM(CD60:CD62)</f>
        <v>0</v>
      </c>
      <c r="CE64" s="176"/>
      <c r="CF64" s="174">
        <f>SUM(CF60:CF62)</f>
        <v>0</v>
      </c>
      <c r="CG64" s="176"/>
    </row>
    <row r="65" spans="2:85" ht="4.5" customHeight="1" x14ac:dyDescent="0.35">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8"/>
      <c r="BY65" s="8"/>
      <c r="BZ65" s="8"/>
      <c r="CA65" s="8"/>
      <c r="CB65" s="8"/>
      <c r="CC65" s="8"/>
      <c r="CD65" s="8"/>
      <c r="CE65" s="8"/>
      <c r="CF65" s="8"/>
      <c r="CG65" s="8"/>
    </row>
    <row r="66" spans="2:85" ht="4.5" customHeight="1" x14ac:dyDescent="0.35">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8"/>
      <c r="BY66" s="8"/>
      <c r="BZ66" s="8"/>
      <c r="CA66" s="8"/>
      <c r="CB66" s="8"/>
      <c r="CC66" s="8"/>
      <c r="CD66" s="8"/>
      <c r="CE66" s="8"/>
      <c r="CF66" s="8"/>
      <c r="CG66" s="8"/>
    </row>
    <row r="67" spans="2:85" ht="19.5" customHeight="1" x14ac:dyDescent="0.35">
      <c r="B67" s="149" t="s">
        <v>54</v>
      </c>
      <c r="C67" s="150"/>
      <c r="D67" s="150"/>
      <c r="E67" s="150"/>
      <c r="F67" s="151"/>
      <c r="G67" s="149" t="s">
        <v>147</v>
      </c>
      <c r="H67" s="150"/>
      <c r="I67" s="150"/>
      <c r="J67" s="150"/>
      <c r="K67" s="150"/>
      <c r="L67" s="150"/>
      <c r="M67" s="150"/>
      <c r="N67" s="150"/>
      <c r="O67" s="150"/>
      <c r="P67" s="150"/>
      <c r="Q67" s="150"/>
      <c r="R67" s="150"/>
      <c r="S67" s="150"/>
      <c r="T67" s="150"/>
      <c r="U67" s="150"/>
      <c r="V67" s="150"/>
      <c r="W67" s="150"/>
      <c r="X67" s="150"/>
      <c r="Y67" s="151"/>
      <c r="AA67" s="205" t="s">
        <v>161</v>
      </c>
      <c r="AB67" s="206"/>
      <c r="AC67" s="206"/>
      <c r="AD67" s="207"/>
      <c r="AF67" s="205" t="s">
        <v>162</v>
      </c>
      <c r="AG67" s="206"/>
      <c r="AH67" s="207"/>
      <c r="AJ67" s="162" t="s">
        <v>177</v>
      </c>
      <c r="AK67" s="162"/>
      <c r="AL67" s="162"/>
      <c r="AM67" s="162"/>
      <c r="AN67" s="162"/>
      <c r="AO67" s="162"/>
      <c r="AP67" s="162"/>
      <c r="AQ67" s="162"/>
      <c r="AR67" s="162"/>
      <c r="AS67" s="162"/>
      <c r="AT67" s="162"/>
      <c r="AU67" s="162"/>
      <c r="AV67" s="162"/>
      <c r="AW67" s="162"/>
      <c r="AX67" s="162"/>
      <c r="AZ67" s="115" t="s">
        <v>163</v>
      </c>
      <c r="BA67" s="116"/>
      <c r="BB67" s="116"/>
      <c r="BC67" s="116"/>
      <c r="BD67" s="116"/>
      <c r="BE67" s="116"/>
      <c r="BF67" s="116"/>
      <c r="BG67" s="117"/>
      <c r="BH67" s="9"/>
      <c r="BI67" s="115" t="s">
        <v>164</v>
      </c>
      <c r="BJ67" s="116"/>
      <c r="BK67" s="116"/>
      <c r="BL67" s="116"/>
      <c r="BM67" s="116"/>
      <c r="BN67" s="116"/>
      <c r="BO67" s="116"/>
      <c r="BP67" s="116"/>
      <c r="BQ67" s="116"/>
      <c r="BR67" s="116"/>
      <c r="BS67" s="116"/>
      <c r="BT67" s="116"/>
      <c r="BU67" s="116"/>
      <c r="BV67" s="117"/>
      <c r="BW67" s="9"/>
      <c r="BX67" s="205" t="s">
        <v>176</v>
      </c>
      <c r="BY67" s="206"/>
      <c r="BZ67" s="206"/>
      <c r="CA67" s="206"/>
      <c r="CB67" s="206"/>
      <c r="CC67" s="206"/>
      <c r="CD67" s="206"/>
      <c r="CE67" s="206"/>
      <c r="CF67" s="206"/>
      <c r="CG67" s="207"/>
    </row>
    <row r="68" spans="2:85" ht="16" customHeight="1" x14ac:dyDescent="0.35">
      <c r="B68" s="152"/>
      <c r="C68" s="153"/>
      <c r="D68" s="153"/>
      <c r="E68" s="153"/>
      <c r="F68" s="154"/>
      <c r="G68" s="152"/>
      <c r="H68" s="153"/>
      <c r="I68" s="153"/>
      <c r="J68" s="153"/>
      <c r="K68" s="153"/>
      <c r="L68" s="153"/>
      <c r="M68" s="153"/>
      <c r="N68" s="153"/>
      <c r="O68" s="153"/>
      <c r="P68" s="153"/>
      <c r="Q68" s="153"/>
      <c r="R68" s="153"/>
      <c r="S68" s="153"/>
      <c r="T68" s="153"/>
      <c r="U68" s="153"/>
      <c r="V68" s="153"/>
      <c r="W68" s="153"/>
      <c r="X68" s="153"/>
      <c r="Y68" s="154"/>
      <c r="AA68" s="152" t="s">
        <v>134</v>
      </c>
      <c r="AB68" s="153"/>
      <c r="AC68" s="153"/>
      <c r="AD68" s="154"/>
      <c r="AF68" s="152" t="s">
        <v>155</v>
      </c>
      <c r="AG68" s="153"/>
      <c r="AH68" s="154"/>
      <c r="AJ68" s="162"/>
      <c r="AK68" s="162"/>
      <c r="AL68" s="162"/>
      <c r="AM68" s="162"/>
      <c r="AN68" s="162"/>
      <c r="AO68" s="162"/>
      <c r="AP68" s="162"/>
      <c r="AQ68" s="162"/>
      <c r="AR68" s="162"/>
      <c r="AS68" s="162"/>
      <c r="AT68" s="162"/>
      <c r="AU68" s="162"/>
      <c r="AV68" s="162"/>
      <c r="AW68" s="162"/>
      <c r="AX68" s="162"/>
      <c r="AZ68" s="174" t="s">
        <v>55</v>
      </c>
      <c r="BA68" s="175"/>
      <c r="BB68" s="175"/>
      <c r="BC68" s="176"/>
      <c r="BD68" s="174" t="s">
        <v>56</v>
      </c>
      <c r="BE68" s="175"/>
      <c r="BF68" s="176"/>
      <c r="BG68" s="24" t="s">
        <v>48</v>
      </c>
      <c r="BH68" s="9"/>
      <c r="BI68" s="82" t="s">
        <v>67</v>
      </c>
      <c r="BJ68" s="83"/>
      <c r="BK68" s="83"/>
      <c r="BL68" s="83"/>
      <c r="BM68" s="83"/>
      <c r="BN68" s="83"/>
      <c r="BO68" s="83"/>
      <c r="BP68" s="83"/>
      <c r="BQ68" s="83"/>
      <c r="BR68" s="83"/>
      <c r="BS68" s="84"/>
      <c r="BT68" s="219" t="s">
        <v>175</v>
      </c>
      <c r="BU68" s="220"/>
      <c r="BV68" s="221"/>
      <c r="BW68" s="9"/>
      <c r="BX68" s="208"/>
      <c r="BY68" s="209"/>
      <c r="BZ68" s="209"/>
      <c r="CA68" s="209"/>
      <c r="CB68" s="209"/>
      <c r="CC68" s="209"/>
      <c r="CD68" s="209"/>
      <c r="CE68" s="209"/>
      <c r="CF68" s="209"/>
      <c r="CG68" s="210"/>
    </row>
    <row r="69" spans="2:85" ht="16" customHeight="1" x14ac:dyDescent="0.35">
      <c r="B69" s="152"/>
      <c r="C69" s="153"/>
      <c r="D69" s="153"/>
      <c r="E69" s="153"/>
      <c r="F69" s="154"/>
      <c r="G69" s="152"/>
      <c r="H69" s="153"/>
      <c r="I69" s="153"/>
      <c r="J69" s="153"/>
      <c r="K69" s="153"/>
      <c r="L69" s="153"/>
      <c r="M69" s="153"/>
      <c r="N69" s="153"/>
      <c r="O69" s="153"/>
      <c r="P69" s="153"/>
      <c r="Q69" s="153"/>
      <c r="R69" s="153"/>
      <c r="S69" s="153"/>
      <c r="T69" s="153"/>
      <c r="U69" s="153"/>
      <c r="V69" s="153"/>
      <c r="W69" s="153"/>
      <c r="X69" s="153"/>
      <c r="Y69" s="154"/>
      <c r="AA69" s="152"/>
      <c r="AB69" s="153"/>
      <c r="AC69" s="153"/>
      <c r="AD69" s="154"/>
      <c r="AF69" s="152"/>
      <c r="AG69" s="153"/>
      <c r="AH69" s="154"/>
      <c r="AJ69" s="163" t="s">
        <v>44</v>
      </c>
      <c r="AK69" s="163"/>
      <c r="AL69" s="163"/>
      <c r="AM69" s="163"/>
      <c r="AN69" s="163"/>
      <c r="AO69" s="163"/>
      <c r="AP69" s="163"/>
      <c r="AQ69" s="163"/>
      <c r="AR69" s="163"/>
      <c r="AS69" s="163"/>
      <c r="AT69" s="163"/>
      <c r="AU69" s="163"/>
      <c r="AV69" s="163"/>
      <c r="AW69" s="163"/>
      <c r="AX69" s="163"/>
      <c r="AZ69" s="63" t="s">
        <v>161</v>
      </c>
      <c r="BA69" s="63" t="s">
        <v>162</v>
      </c>
      <c r="BB69" s="63" t="s">
        <v>165</v>
      </c>
      <c r="BC69" s="63" t="s">
        <v>166</v>
      </c>
      <c r="BD69" s="63" t="s">
        <v>167</v>
      </c>
      <c r="BE69" s="63" t="s">
        <v>168</v>
      </c>
      <c r="BF69" s="63" t="s">
        <v>169</v>
      </c>
      <c r="BG69" s="63" t="s">
        <v>170</v>
      </c>
      <c r="BH69" s="9"/>
      <c r="BI69" s="167" t="s">
        <v>216</v>
      </c>
      <c r="BJ69" s="167" t="s">
        <v>171</v>
      </c>
      <c r="BK69" s="167" t="s">
        <v>215</v>
      </c>
      <c r="BL69" s="167" t="s">
        <v>172</v>
      </c>
      <c r="BM69" s="167" t="s">
        <v>217</v>
      </c>
      <c r="BN69" s="167" t="s">
        <v>173</v>
      </c>
      <c r="BO69" s="219" t="s">
        <v>174</v>
      </c>
      <c r="BP69" s="220"/>
      <c r="BQ69" s="220"/>
      <c r="BR69" s="220"/>
      <c r="BS69" s="221"/>
      <c r="BT69" s="225"/>
      <c r="BU69" s="226"/>
      <c r="BV69" s="227"/>
      <c r="BW69" s="9"/>
      <c r="BX69" s="211"/>
      <c r="BY69" s="212"/>
      <c r="BZ69" s="212"/>
      <c r="CA69" s="212"/>
      <c r="CB69" s="212"/>
      <c r="CC69" s="212"/>
      <c r="CD69" s="212"/>
      <c r="CE69" s="212"/>
      <c r="CF69" s="212"/>
      <c r="CG69" s="213"/>
    </row>
    <row r="70" spans="2:85" ht="30.5" customHeight="1" x14ac:dyDescent="0.35">
      <c r="B70" s="155"/>
      <c r="C70" s="156"/>
      <c r="D70" s="156"/>
      <c r="E70" s="156"/>
      <c r="F70" s="157"/>
      <c r="G70" s="155"/>
      <c r="H70" s="156"/>
      <c r="I70" s="156"/>
      <c r="J70" s="156"/>
      <c r="K70" s="156"/>
      <c r="L70" s="156"/>
      <c r="M70" s="156"/>
      <c r="N70" s="156"/>
      <c r="O70" s="156"/>
      <c r="P70" s="156"/>
      <c r="Q70" s="156"/>
      <c r="R70" s="156"/>
      <c r="S70" s="156"/>
      <c r="T70" s="156"/>
      <c r="U70" s="156"/>
      <c r="V70" s="156"/>
      <c r="W70" s="156"/>
      <c r="X70" s="156"/>
      <c r="Y70" s="157"/>
      <c r="AA70" s="155"/>
      <c r="AB70" s="156"/>
      <c r="AC70" s="156"/>
      <c r="AD70" s="157"/>
      <c r="AF70" s="155"/>
      <c r="AG70" s="156"/>
      <c r="AH70" s="157"/>
      <c r="AJ70" s="161">
        <v>2026</v>
      </c>
      <c r="AK70" s="161"/>
      <c r="AL70" s="161"/>
      <c r="AM70" s="161">
        <v>2027</v>
      </c>
      <c r="AN70" s="161"/>
      <c r="AO70" s="161"/>
      <c r="AP70" s="161">
        <v>2028</v>
      </c>
      <c r="AQ70" s="161"/>
      <c r="AR70" s="161"/>
      <c r="AS70" s="161">
        <v>2029</v>
      </c>
      <c r="AT70" s="161"/>
      <c r="AU70" s="161"/>
      <c r="AV70" s="161">
        <v>2030</v>
      </c>
      <c r="AW70" s="161"/>
      <c r="AX70" s="161"/>
      <c r="AZ70" s="24" t="s">
        <v>46</v>
      </c>
      <c r="BA70" s="24" t="s">
        <v>45</v>
      </c>
      <c r="BB70" s="24" t="s">
        <v>47</v>
      </c>
      <c r="BC70" s="24" t="s">
        <v>49</v>
      </c>
      <c r="BD70" s="24" t="s">
        <v>50</v>
      </c>
      <c r="BE70" s="24" t="s">
        <v>51</v>
      </c>
      <c r="BF70" s="24" t="s">
        <v>64</v>
      </c>
      <c r="BG70" s="24" t="s">
        <v>48</v>
      </c>
      <c r="BH70" s="9"/>
      <c r="BI70" s="167"/>
      <c r="BJ70" s="167"/>
      <c r="BK70" s="167"/>
      <c r="BL70" s="167"/>
      <c r="BM70" s="167"/>
      <c r="BN70" s="167"/>
      <c r="BO70" s="222"/>
      <c r="BP70" s="223"/>
      <c r="BQ70" s="223"/>
      <c r="BR70" s="223"/>
      <c r="BS70" s="224"/>
      <c r="BT70" s="222"/>
      <c r="BU70" s="223"/>
      <c r="BV70" s="224"/>
      <c r="BW70" s="9"/>
      <c r="BX70" s="200" t="s">
        <v>8</v>
      </c>
      <c r="BY70" s="200"/>
      <c r="BZ70" s="200" t="s">
        <v>9</v>
      </c>
      <c r="CA70" s="200"/>
      <c r="CB70" s="200" t="s">
        <v>10</v>
      </c>
      <c r="CC70" s="200"/>
      <c r="CD70" s="192" t="s">
        <v>11</v>
      </c>
      <c r="CE70" s="193"/>
      <c r="CF70" s="192" t="s">
        <v>19</v>
      </c>
      <c r="CG70" s="193"/>
    </row>
    <row r="71" spans="2:85" ht="4.5" customHeight="1" x14ac:dyDescent="0.35">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8"/>
      <c r="BY71" s="8"/>
      <c r="BZ71" s="8"/>
      <c r="CA71" s="8"/>
      <c r="CB71" s="8"/>
      <c r="CC71" s="8"/>
      <c r="CD71" s="8"/>
      <c r="CE71" s="8"/>
      <c r="CF71" s="8"/>
      <c r="CG71" s="8"/>
    </row>
    <row r="72" spans="2:85" s="9" customFormat="1" ht="24" customHeight="1" x14ac:dyDescent="0.35">
      <c r="B72" s="194" t="s">
        <v>108</v>
      </c>
      <c r="C72" s="195"/>
      <c r="D72" s="195"/>
      <c r="E72" s="195"/>
      <c r="F72" s="196"/>
      <c r="G72" s="194" t="s">
        <v>142</v>
      </c>
      <c r="H72" s="195"/>
      <c r="I72" s="195"/>
      <c r="J72" s="195"/>
      <c r="K72" s="195"/>
      <c r="L72" s="195"/>
      <c r="M72" s="195"/>
      <c r="N72" s="195"/>
      <c r="O72" s="195"/>
      <c r="P72" s="195"/>
      <c r="Q72" s="195"/>
      <c r="R72" s="195"/>
      <c r="S72" s="195"/>
      <c r="T72" s="195"/>
      <c r="U72" s="195"/>
      <c r="V72" s="195"/>
      <c r="W72" s="195"/>
      <c r="X72" s="195"/>
      <c r="Y72" s="196"/>
      <c r="BI72" s="26"/>
      <c r="BJ72" s="26"/>
      <c r="BK72" s="26"/>
      <c r="BL72" s="26"/>
      <c r="BM72" s="26"/>
      <c r="BN72" s="26"/>
      <c r="BO72" s="28"/>
      <c r="BP72" s="28"/>
      <c r="BQ72" s="28"/>
      <c r="BR72" s="28"/>
      <c r="BS72" s="28"/>
      <c r="BT72" s="28"/>
      <c r="BU72" s="28"/>
      <c r="BV72" s="28"/>
      <c r="BX72" s="191"/>
      <c r="BY72" s="191"/>
      <c r="BZ72" s="191"/>
      <c r="CA72" s="191"/>
      <c r="CB72" s="191"/>
      <c r="CC72" s="191"/>
      <c r="CD72" s="191"/>
      <c r="CE72" s="191"/>
      <c r="CF72" s="191"/>
      <c r="CG72" s="191"/>
    </row>
    <row r="73" spans="2:85" s="9" customFormat="1" ht="24" customHeight="1" x14ac:dyDescent="0.35">
      <c r="B73" s="109" t="s">
        <v>109</v>
      </c>
      <c r="C73" s="110"/>
      <c r="D73" s="110"/>
      <c r="E73" s="110"/>
      <c r="F73" s="111"/>
      <c r="G73" s="234" t="s">
        <v>30</v>
      </c>
      <c r="H73" s="235"/>
      <c r="I73" s="235"/>
      <c r="J73" s="235"/>
      <c r="K73" s="235"/>
      <c r="L73" s="235"/>
      <c r="M73" s="235"/>
      <c r="N73" s="235"/>
      <c r="O73" s="235"/>
      <c r="P73" s="235"/>
      <c r="Q73" s="235"/>
      <c r="R73" s="235"/>
      <c r="S73" s="235"/>
      <c r="T73" s="235"/>
      <c r="U73" s="235"/>
      <c r="V73" s="235"/>
      <c r="W73" s="235"/>
      <c r="X73" s="235"/>
      <c r="Y73" s="236"/>
      <c r="AA73" s="106"/>
      <c r="AB73" s="107"/>
      <c r="AC73" s="107"/>
      <c r="AD73" s="108"/>
      <c r="AF73" s="118">
        <v>0</v>
      </c>
      <c r="AG73" s="119"/>
      <c r="AH73" s="120"/>
      <c r="AJ73" s="197"/>
      <c r="AK73" s="198"/>
      <c r="AL73" s="199"/>
      <c r="AM73" s="112"/>
      <c r="AN73" s="113"/>
      <c r="AO73" s="114"/>
      <c r="AP73" s="112"/>
      <c r="AQ73" s="113"/>
      <c r="AR73" s="114"/>
      <c r="AS73" s="112"/>
      <c r="AT73" s="113"/>
      <c r="AU73" s="114"/>
      <c r="AV73" s="112"/>
      <c r="AW73" s="113"/>
      <c r="AX73" s="114"/>
      <c r="AZ73" s="34"/>
      <c r="BA73" s="34"/>
      <c r="BC73" s="34"/>
      <c r="BD73" s="25"/>
      <c r="BE73" s="34"/>
      <c r="BF73" s="34"/>
      <c r="BG73" s="35"/>
      <c r="BI73" s="32">
        <f>SUM(5000+7*3000+7*1000+7*1000+7*1000+7*3000+8*3000)</f>
        <v>92000</v>
      </c>
      <c r="BJ73" s="32">
        <f t="shared" ref="BJ73:BJ77" si="21">SUM(7*500)</f>
        <v>3500</v>
      </c>
      <c r="BK73" s="32">
        <f>SUM(7*3000)</f>
        <v>21000</v>
      </c>
      <c r="BL73" s="32">
        <f xml:space="preserve"> SUM(8*2*3000)</f>
        <v>48000</v>
      </c>
      <c r="BM73" s="32">
        <f>SUM(7*1000000)</f>
        <v>7000000</v>
      </c>
      <c r="BN73" s="36"/>
      <c r="BO73" s="171">
        <f>SUM(BI73+BJ73+BK73+BL73+BM73+BN73)</f>
        <v>7164500</v>
      </c>
      <c r="BP73" s="172"/>
      <c r="BQ73" s="172"/>
      <c r="BR73" s="172"/>
      <c r="BS73" s="173"/>
      <c r="BT73" s="202">
        <f>SUM(100/BO121)*BO73</f>
        <v>27.665900797405058</v>
      </c>
      <c r="BU73" s="203"/>
      <c r="BV73" s="204"/>
      <c r="BX73" s="106"/>
      <c r="BY73" s="108"/>
      <c r="BZ73" s="106"/>
      <c r="CA73" s="108"/>
      <c r="CB73" s="106"/>
      <c r="CC73" s="108"/>
      <c r="CD73" s="106"/>
      <c r="CE73" s="108"/>
      <c r="CF73" s="189">
        <f>SUM(BX73+BZ73+CB73+CD73)</f>
        <v>0</v>
      </c>
      <c r="CG73" s="190"/>
    </row>
    <row r="74" spans="2:85" s="9" customFormat="1" ht="24" customHeight="1" x14ac:dyDescent="0.35">
      <c r="B74" s="109" t="s">
        <v>110</v>
      </c>
      <c r="C74" s="110"/>
      <c r="D74" s="110"/>
      <c r="E74" s="110"/>
      <c r="F74" s="111"/>
      <c r="G74" s="234" t="s">
        <v>195</v>
      </c>
      <c r="H74" s="235"/>
      <c r="I74" s="235"/>
      <c r="J74" s="235"/>
      <c r="K74" s="235"/>
      <c r="L74" s="235"/>
      <c r="M74" s="235"/>
      <c r="N74" s="235"/>
      <c r="O74" s="235"/>
      <c r="P74" s="235"/>
      <c r="Q74" s="235"/>
      <c r="R74" s="235"/>
      <c r="S74" s="235"/>
      <c r="T74" s="235"/>
      <c r="U74" s="235"/>
      <c r="V74" s="235"/>
      <c r="W74" s="235"/>
      <c r="X74" s="235"/>
      <c r="Y74" s="236"/>
      <c r="AA74" s="106"/>
      <c r="AB74" s="107"/>
      <c r="AC74" s="107"/>
      <c r="AD74" s="108"/>
      <c r="AF74" s="118"/>
      <c r="AG74" s="119"/>
      <c r="AH74" s="120"/>
      <c r="AJ74" s="197"/>
      <c r="AK74" s="198"/>
      <c r="AL74" s="199"/>
      <c r="AM74" s="112"/>
      <c r="AN74" s="113"/>
      <c r="AO74" s="114"/>
      <c r="AP74" s="112"/>
      <c r="AQ74" s="113"/>
      <c r="AR74" s="114"/>
      <c r="AS74" s="112"/>
      <c r="AT74" s="113"/>
      <c r="AU74" s="114"/>
      <c r="AV74" s="112"/>
      <c r="AW74" s="113"/>
      <c r="AX74" s="114"/>
      <c r="BA74" s="34"/>
      <c r="BC74" s="34"/>
      <c r="BD74" s="25"/>
      <c r="BG74" s="35"/>
      <c r="BI74" s="32">
        <f>SUM(8*1000)</f>
        <v>8000</v>
      </c>
      <c r="BJ74" s="32">
        <f t="shared" si="21"/>
        <v>3500</v>
      </c>
      <c r="BK74" s="32">
        <f t="shared" ref="BK74:BK76" si="22">SUM(7*250)</f>
        <v>1750</v>
      </c>
      <c r="BL74" s="32">
        <f xml:space="preserve"> SUM(8*2*3000)</f>
        <v>48000</v>
      </c>
      <c r="BM74" s="32">
        <f>SUM(7*200)</f>
        <v>1400</v>
      </c>
      <c r="BN74" s="36"/>
      <c r="BO74" s="171">
        <f>SUM(BI74+BJ74+BK74+BL74+BM74+BN74)</f>
        <v>62650</v>
      </c>
      <c r="BP74" s="172"/>
      <c r="BQ74" s="172"/>
      <c r="BR74" s="172"/>
      <c r="BS74" s="173"/>
      <c r="BT74" s="164">
        <f>SUM(100/BO121)*BO74</f>
        <v>0.24192458440329775</v>
      </c>
      <c r="BU74" s="165"/>
      <c r="BV74" s="166"/>
      <c r="BX74" s="106"/>
      <c r="BY74" s="108"/>
      <c r="BZ74" s="106"/>
      <c r="CA74" s="108"/>
      <c r="CB74" s="106"/>
      <c r="CC74" s="108"/>
      <c r="CD74" s="106"/>
      <c r="CE74" s="108"/>
      <c r="CF74" s="189">
        <f>SUM(BX74+BZ74+CB74+CD74)</f>
        <v>0</v>
      </c>
      <c r="CG74" s="190"/>
    </row>
    <row r="75" spans="2:85" s="9" customFormat="1" ht="24" customHeight="1" x14ac:dyDescent="0.35">
      <c r="B75" s="109" t="s">
        <v>111</v>
      </c>
      <c r="C75" s="110"/>
      <c r="D75" s="110"/>
      <c r="E75" s="110"/>
      <c r="F75" s="111"/>
      <c r="G75" s="234" t="s">
        <v>196</v>
      </c>
      <c r="H75" s="235"/>
      <c r="I75" s="235"/>
      <c r="J75" s="235"/>
      <c r="K75" s="235"/>
      <c r="L75" s="235"/>
      <c r="M75" s="235"/>
      <c r="N75" s="235"/>
      <c r="O75" s="235"/>
      <c r="P75" s="235"/>
      <c r="Q75" s="235"/>
      <c r="R75" s="235"/>
      <c r="S75" s="235"/>
      <c r="T75" s="235"/>
      <c r="U75" s="235"/>
      <c r="V75" s="235"/>
      <c r="W75" s="235"/>
      <c r="X75" s="235"/>
      <c r="Y75" s="236"/>
      <c r="AA75" s="106"/>
      <c r="AB75" s="107"/>
      <c r="AC75" s="107"/>
      <c r="AD75" s="108"/>
      <c r="AF75" s="118"/>
      <c r="AG75" s="119"/>
      <c r="AH75" s="120"/>
      <c r="AJ75" s="258"/>
      <c r="AK75" s="258"/>
      <c r="AL75" s="259"/>
      <c r="AM75" s="197"/>
      <c r="AN75" s="198"/>
      <c r="AO75" s="199"/>
      <c r="AP75" s="112"/>
      <c r="AQ75" s="113"/>
      <c r="AR75" s="114"/>
      <c r="AS75" s="112"/>
      <c r="AT75" s="113"/>
      <c r="AU75" s="114"/>
      <c r="AV75" s="112"/>
      <c r="AW75" s="113"/>
      <c r="AX75" s="114"/>
      <c r="BA75" s="34"/>
      <c r="BD75" s="25"/>
      <c r="BG75" s="35"/>
      <c r="BI75" s="32">
        <f>SUM(5000+7*1000)</f>
        <v>12000</v>
      </c>
      <c r="BJ75" s="32">
        <f t="shared" si="21"/>
        <v>3500</v>
      </c>
      <c r="BK75" s="32">
        <f t="shared" si="22"/>
        <v>1750</v>
      </c>
      <c r="BL75" s="32">
        <f xml:space="preserve"> SUM(8*2*3000)</f>
        <v>48000</v>
      </c>
      <c r="BM75" s="32">
        <f>SUM(7*200)</f>
        <v>1400</v>
      </c>
      <c r="BN75" s="36"/>
      <c r="BO75" s="171">
        <f>SUM(BI75+BJ75+BK75+BL75+BM75+BN75)</f>
        <v>66650</v>
      </c>
      <c r="BP75" s="172"/>
      <c r="BQ75" s="172"/>
      <c r="BR75" s="172"/>
      <c r="BS75" s="173"/>
      <c r="BT75" s="164">
        <f>SUM(100/BO121)*BO75</f>
        <v>0.25737068715849637</v>
      </c>
      <c r="BU75" s="165"/>
      <c r="BV75" s="166"/>
      <c r="BX75" s="106"/>
      <c r="BY75" s="108"/>
      <c r="BZ75" s="106"/>
      <c r="CA75" s="108"/>
      <c r="CB75" s="106"/>
      <c r="CC75" s="108"/>
      <c r="CD75" s="106"/>
      <c r="CE75" s="108"/>
      <c r="CF75" s="189">
        <f>SUM(BX75+BZ75+CB75+CD75)</f>
        <v>0</v>
      </c>
      <c r="CG75" s="190"/>
    </row>
    <row r="76" spans="2:85" s="9" customFormat="1" ht="24" customHeight="1" x14ac:dyDescent="0.35">
      <c r="B76" s="109" t="s">
        <v>112</v>
      </c>
      <c r="C76" s="110"/>
      <c r="D76" s="110"/>
      <c r="E76" s="110"/>
      <c r="F76" s="111"/>
      <c r="G76" s="234" t="s">
        <v>197</v>
      </c>
      <c r="H76" s="235"/>
      <c r="I76" s="235"/>
      <c r="J76" s="235"/>
      <c r="K76" s="235"/>
      <c r="L76" s="235"/>
      <c r="M76" s="235"/>
      <c r="N76" s="235"/>
      <c r="O76" s="235"/>
      <c r="P76" s="235"/>
      <c r="Q76" s="235"/>
      <c r="R76" s="235"/>
      <c r="S76" s="235"/>
      <c r="T76" s="235"/>
      <c r="U76" s="235"/>
      <c r="V76" s="235"/>
      <c r="W76" s="235"/>
      <c r="X76" s="235"/>
      <c r="Y76" s="236"/>
      <c r="AA76" s="106"/>
      <c r="AB76" s="107"/>
      <c r="AC76" s="107"/>
      <c r="AD76" s="108"/>
      <c r="AF76" s="118"/>
      <c r="AG76" s="119"/>
      <c r="AH76" s="120"/>
      <c r="AJ76" s="215"/>
      <c r="AK76" s="215"/>
      <c r="AL76" s="215"/>
      <c r="AM76" s="215"/>
      <c r="AN76" s="215"/>
      <c r="AO76" s="215"/>
      <c r="AP76" s="197"/>
      <c r="AQ76" s="198"/>
      <c r="AR76" s="199"/>
      <c r="AS76" s="112"/>
      <c r="AT76" s="113"/>
      <c r="AU76" s="114"/>
      <c r="AV76" s="112"/>
      <c r="AW76" s="113"/>
      <c r="AX76" s="114"/>
      <c r="BA76" s="34"/>
      <c r="BD76" s="25"/>
      <c r="BG76" s="35"/>
      <c r="BI76" s="32">
        <f>SUM(5000+7*1000)</f>
        <v>12000</v>
      </c>
      <c r="BJ76" s="32">
        <f>SUM(7*1000)</f>
        <v>7000</v>
      </c>
      <c r="BK76" s="32">
        <f t="shared" si="22"/>
        <v>1750</v>
      </c>
      <c r="BL76" s="32">
        <f xml:space="preserve"> SUM(8*2*3000)</f>
        <v>48000</v>
      </c>
      <c r="BM76" s="32">
        <f>SUM(7*200)</f>
        <v>1400</v>
      </c>
      <c r="BN76" s="36"/>
      <c r="BO76" s="171">
        <f>SUM(BI76+BJ76+BK76+BL76+BM76+BN76)</f>
        <v>70150</v>
      </c>
      <c r="BP76" s="172"/>
      <c r="BQ76" s="172"/>
      <c r="BR76" s="172"/>
      <c r="BS76" s="173"/>
      <c r="BT76" s="164">
        <f>SUM(100/BO121)*BO76</f>
        <v>0.2708860270692951</v>
      </c>
      <c r="BU76" s="165"/>
      <c r="BV76" s="166"/>
      <c r="BX76" s="106"/>
      <c r="BY76" s="108"/>
      <c r="BZ76" s="106"/>
      <c r="CA76" s="108"/>
      <c r="CB76" s="106"/>
      <c r="CC76" s="108"/>
      <c r="CD76" s="106"/>
      <c r="CE76" s="108"/>
      <c r="CF76" s="189">
        <f>SUM(BX76+BZ76+CB76+CD76)</f>
        <v>0</v>
      </c>
      <c r="CG76" s="190"/>
    </row>
    <row r="77" spans="2:85" s="9" customFormat="1" ht="24" customHeight="1" x14ac:dyDescent="0.35">
      <c r="B77" s="109" t="s">
        <v>113</v>
      </c>
      <c r="C77" s="110"/>
      <c r="D77" s="110"/>
      <c r="E77" s="110"/>
      <c r="F77" s="111"/>
      <c r="G77" s="234" t="s">
        <v>198</v>
      </c>
      <c r="H77" s="235"/>
      <c r="I77" s="235"/>
      <c r="J77" s="235"/>
      <c r="K77" s="235"/>
      <c r="L77" s="235"/>
      <c r="M77" s="235"/>
      <c r="N77" s="235"/>
      <c r="O77" s="235"/>
      <c r="P77" s="235"/>
      <c r="Q77" s="235"/>
      <c r="R77" s="235"/>
      <c r="S77" s="235"/>
      <c r="T77" s="235"/>
      <c r="U77" s="235"/>
      <c r="V77" s="235"/>
      <c r="W77" s="235"/>
      <c r="X77" s="235"/>
      <c r="Y77" s="236"/>
      <c r="AA77" s="106"/>
      <c r="AB77" s="107"/>
      <c r="AC77" s="107"/>
      <c r="AD77" s="108"/>
      <c r="AF77" s="118"/>
      <c r="AG77" s="119"/>
      <c r="AH77" s="120"/>
      <c r="AJ77" s="215"/>
      <c r="AK77" s="215"/>
      <c r="AL77" s="215"/>
      <c r="AM77" s="215"/>
      <c r="AN77" s="215"/>
      <c r="AO77" s="215"/>
      <c r="AP77" s="197"/>
      <c r="AQ77" s="198"/>
      <c r="AR77" s="199"/>
      <c r="AS77" s="112"/>
      <c r="AT77" s="113"/>
      <c r="AU77" s="114"/>
      <c r="AV77" s="112"/>
      <c r="AW77" s="113"/>
      <c r="AX77" s="114"/>
      <c r="BA77" s="34"/>
      <c r="BD77" s="25"/>
      <c r="BE77" s="25"/>
      <c r="BF77" s="25"/>
      <c r="BG77" s="25"/>
      <c r="BI77" s="32">
        <f>SUM(5000+14*3000+5000)</f>
        <v>52000</v>
      </c>
      <c r="BJ77" s="32">
        <f t="shared" si="21"/>
        <v>3500</v>
      </c>
      <c r="BK77" s="32">
        <f>SUM(7*2000)</f>
        <v>14000</v>
      </c>
      <c r="BL77" s="32">
        <f xml:space="preserve"> SUM(8*2*3000)</f>
        <v>48000</v>
      </c>
      <c r="BM77" s="32">
        <f>SUM(7*200)</f>
        <v>1400</v>
      </c>
      <c r="BN77" s="36"/>
      <c r="BO77" s="171">
        <f>SUM(BI77+BJ77+BK77+BL77+BM77+BN77)</f>
        <v>118900</v>
      </c>
      <c r="BP77" s="172"/>
      <c r="BQ77" s="172"/>
      <c r="BR77" s="172"/>
      <c r="BS77" s="173"/>
      <c r="BT77" s="164">
        <f>SUM(100/BO121)*BO77</f>
        <v>0.45913540439827782</v>
      </c>
      <c r="BU77" s="165"/>
      <c r="BV77" s="166"/>
      <c r="BX77" s="106"/>
      <c r="BY77" s="108"/>
      <c r="BZ77" s="106"/>
      <c r="CA77" s="108"/>
      <c r="CB77" s="106"/>
      <c r="CC77" s="108"/>
      <c r="CD77" s="106"/>
      <c r="CE77" s="108"/>
      <c r="CF77" s="189">
        <f>SUM(BX77+BZ77+CB77+CD77)</f>
        <v>0</v>
      </c>
      <c r="CG77" s="190"/>
    </row>
    <row r="78" spans="2:85" ht="4.5" customHeight="1" x14ac:dyDescent="0.35">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30"/>
      <c r="BJ78" s="30"/>
      <c r="BK78" s="30"/>
      <c r="BL78" s="30"/>
      <c r="BM78" s="30"/>
      <c r="BN78" s="30"/>
      <c r="BO78" s="30"/>
      <c r="BP78" s="30"/>
      <c r="BQ78" s="30"/>
      <c r="BR78" s="30"/>
      <c r="BS78" s="30"/>
      <c r="BT78" s="41"/>
      <c r="BU78" s="42"/>
      <c r="BV78" s="42"/>
      <c r="BW78" s="9"/>
      <c r="BX78" s="8"/>
      <c r="BY78" s="8"/>
      <c r="BZ78" s="8"/>
      <c r="CA78" s="8"/>
      <c r="CB78" s="8"/>
      <c r="CC78" s="8"/>
      <c r="CD78" s="8"/>
      <c r="CE78" s="8"/>
      <c r="CF78" s="8"/>
      <c r="CG78" s="8"/>
    </row>
    <row r="79" spans="2:85" s="9" customFormat="1" ht="24" customHeight="1" x14ac:dyDescent="0.35">
      <c r="B79" s="194" t="s">
        <v>108</v>
      </c>
      <c r="C79" s="195"/>
      <c r="D79" s="195"/>
      <c r="E79" s="195"/>
      <c r="F79" s="196"/>
      <c r="G79" s="103" t="s">
        <v>103</v>
      </c>
      <c r="H79" s="104"/>
      <c r="I79" s="104"/>
      <c r="J79" s="104"/>
      <c r="K79" s="104"/>
      <c r="L79" s="104"/>
      <c r="M79" s="104"/>
      <c r="N79" s="104"/>
      <c r="O79" s="104"/>
      <c r="P79" s="104"/>
      <c r="Q79" s="104"/>
      <c r="R79" s="104"/>
      <c r="S79" s="104"/>
      <c r="T79" s="104"/>
      <c r="U79" s="104"/>
      <c r="V79" s="104"/>
      <c r="W79" s="104"/>
      <c r="X79" s="104"/>
      <c r="Y79" s="105"/>
      <c r="Z79" s="8"/>
      <c r="AA79" s="189">
        <f>SUM(AA73:AA77)</f>
        <v>0</v>
      </c>
      <c r="AB79" s="201"/>
      <c r="AC79" s="201"/>
      <c r="AD79" s="190"/>
      <c r="AE79" s="8"/>
      <c r="AF79" s="174">
        <f>MEDIAN(AF73:AF77)</f>
        <v>0</v>
      </c>
      <c r="AG79" s="175"/>
      <c r="AH79" s="176"/>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56">
        <f t="shared" ref="BI79:BN79" si="23">SUM(BI73:BI77)</f>
        <v>176000</v>
      </c>
      <c r="BJ79" s="56">
        <f t="shared" si="23"/>
        <v>21000</v>
      </c>
      <c r="BK79" s="56">
        <f t="shared" si="23"/>
        <v>40250</v>
      </c>
      <c r="BL79" s="56">
        <f t="shared" si="23"/>
        <v>240000</v>
      </c>
      <c r="BM79" s="56">
        <f t="shared" si="23"/>
        <v>7005600</v>
      </c>
      <c r="BN79" s="56">
        <f t="shared" si="23"/>
        <v>0</v>
      </c>
      <c r="BO79" s="171">
        <f>SUM(BI79+BJ79+BK79+BL79+BM79+BN79)</f>
        <v>7482850</v>
      </c>
      <c r="BP79" s="172"/>
      <c r="BQ79" s="172"/>
      <c r="BR79" s="172"/>
      <c r="BS79" s="173"/>
      <c r="BT79" s="164">
        <f>SUM(100/BO121)*BO79</f>
        <v>28.895217500434423</v>
      </c>
      <c r="BU79" s="165"/>
      <c r="BV79" s="166"/>
      <c r="BW79" s="8"/>
      <c r="BX79" s="174">
        <f>SUM(BX73:BX77)</f>
        <v>0</v>
      </c>
      <c r="BY79" s="176"/>
      <c r="BZ79" s="174">
        <f>SUM(BZ73:BZ77)</f>
        <v>0</v>
      </c>
      <c r="CA79" s="176"/>
      <c r="CB79" s="174">
        <f>SUM(CB73:CB77)</f>
        <v>0</v>
      </c>
      <c r="CC79" s="176"/>
      <c r="CD79" s="174">
        <f>SUM(CD73:CD77)</f>
        <v>0</v>
      </c>
      <c r="CE79" s="176"/>
      <c r="CF79" s="174">
        <f>SUM(CF73:CF77)</f>
        <v>0</v>
      </c>
      <c r="CG79" s="176"/>
    </row>
    <row r="80" spans="2:85" ht="4.5" customHeight="1" x14ac:dyDescent="0.35">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8"/>
      <c r="BY80" s="8"/>
      <c r="BZ80" s="8"/>
      <c r="CA80" s="8"/>
      <c r="CB80" s="8"/>
      <c r="CC80" s="8"/>
      <c r="CD80" s="8"/>
      <c r="CE80" s="8"/>
      <c r="CF80" s="8"/>
      <c r="CG80" s="8"/>
    </row>
    <row r="81" spans="2:85" ht="4.5" customHeight="1" x14ac:dyDescent="0.35">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8"/>
      <c r="BY81" s="8"/>
      <c r="BZ81" s="8"/>
      <c r="CA81" s="8"/>
      <c r="CB81" s="8"/>
      <c r="CC81" s="8"/>
      <c r="CD81" s="8"/>
      <c r="CE81" s="8"/>
      <c r="CF81" s="8"/>
      <c r="CG81" s="8"/>
    </row>
    <row r="82" spans="2:85" s="9" customFormat="1" ht="24" customHeight="1" x14ac:dyDescent="0.35">
      <c r="B82" s="194" t="s">
        <v>114</v>
      </c>
      <c r="C82" s="195"/>
      <c r="D82" s="195"/>
      <c r="E82" s="195"/>
      <c r="F82" s="196"/>
      <c r="G82" s="194" t="s">
        <v>144</v>
      </c>
      <c r="H82" s="195"/>
      <c r="I82" s="195"/>
      <c r="J82" s="195"/>
      <c r="K82" s="195"/>
      <c r="L82" s="195"/>
      <c r="M82" s="195"/>
      <c r="N82" s="195"/>
      <c r="O82" s="195"/>
      <c r="P82" s="195"/>
      <c r="Q82" s="195"/>
      <c r="R82" s="195"/>
      <c r="S82" s="195"/>
      <c r="T82" s="195"/>
      <c r="U82" s="195"/>
      <c r="V82" s="195"/>
      <c r="W82" s="195"/>
      <c r="X82" s="195"/>
      <c r="Y82" s="196"/>
      <c r="BI82" s="30"/>
      <c r="BJ82" s="30"/>
      <c r="BK82" s="30"/>
      <c r="BL82" s="30"/>
      <c r="BM82" s="30"/>
      <c r="BN82" s="30"/>
      <c r="BO82" s="30"/>
      <c r="BP82" s="30"/>
      <c r="BQ82" s="30"/>
      <c r="BR82" s="30"/>
      <c r="BS82" s="30"/>
      <c r="BT82" s="30"/>
      <c r="BU82" s="28"/>
      <c r="BV82" s="28"/>
      <c r="BX82" s="191"/>
      <c r="BY82" s="191"/>
      <c r="BZ82" s="191"/>
      <c r="CA82" s="191"/>
      <c r="CB82" s="191"/>
      <c r="CC82" s="191"/>
      <c r="CD82" s="191"/>
      <c r="CE82" s="191"/>
      <c r="CF82" s="191"/>
      <c r="CG82" s="191"/>
    </row>
    <row r="83" spans="2:85" s="9" customFormat="1" ht="24" customHeight="1" x14ac:dyDescent="0.35">
      <c r="B83" s="109" t="s">
        <v>115</v>
      </c>
      <c r="C83" s="110"/>
      <c r="D83" s="110"/>
      <c r="E83" s="110"/>
      <c r="F83" s="111"/>
      <c r="G83" s="234" t="s">
        <v>17</v>
      </c>
      <c r="H83" s="235"/>
      <c r="I83" s="235"/>
      <c r="J83" s="235"/>
      <c r="K83" s="235"/>
      <c r="L83" s="235"/>
      <c r="M83" s="235"/>
      <c r="N83" s="235"/>
      <c r="O83" s="235"/>
      <c r="P83" s="235"/>
      <c r="Q83" s="235"/>
      <c r="R83" s="235"/>
      <c r="S83" s="235"/>
      <c r="T83" s="235"/>
      <c r="U83" s="235"/>
      <c r="V83" s="235"/>
      <c r="W83" s="235"/>
      <c r="X83" s="235"/>
      <c r="Y83" s="236"/>
      <c r="AA83" s="106"/>
      <c r="AB83" s="107"/>
      <c r="AC83" s="107"/>
      <c r="AD83" s="108"/>
      <c r="AF83" s="118">
        <v>0</v>
      </c>
      <c r="AG83" s="119"/>
      <c r="AH83" s="120"/>
      <c r="AJ83" s="197"/>
      <c r="AK83" s="198"/>
      <c r="AL83" s="199"/>
      <c r="AM83" s="112"/>
      <c r="AN83" s="113"/>
      <c r="AO83" s="114"/>
      <c r="AP83" s="112"/>
      <c r="AQ83" s="113"/>
      <c r="AR83" s="114"/>
      <c r="AS83" s="112"/>
      <c r="AT83" s="113"/>
      <c r="AU83" s="114"/>
      <c r="AV83" s="112"/>
      <c r="AW83" s="113"/>
      <c r="AX83" s="114"/>
      <c r="BA83" s="34"/>
      <c r="BC83" s="34"/>
      <c r="BD83" s="25"/>
      <c r="BG83" s="35"/>
      <c r="BI83" s="32">
        <f>SUM(8*1000)</f>
        <v>8000</v>
      </c>
      <c r="BJ83" s="32">
        <f>SUM(7*500)</f>
        <v>3500</v>
      </c>
      <c r="BK83" s="30"/>
      <c r="BL83" s="30"/>
      <c r="BM83" s="32">
        <f>SUM(7*200)</f>
        <v>1400</v>
      </c>
      <c r="BN83" s="36"/>
      <c r="BO83" s="171">
        <f>SUM(BI83+BJ83+BK83+BL83+BM83+BN83)</f>
        <v>12900</v>
      </c>
      <c r="BP83" s="172"/>
      <c r="BQ83" s="172"/>
      <c r="BR83" s="172"/>
      <c r="BS83" s="173"/>
      <c r="BT83" s="164">
        <f>SUM(100/BO121)*BO83</f>
        <v>4.9813681385515424E-2</v>
      </c>
      <c r="BU83" s="165"/>
      <c r="BV83" s="166"/>
      <c r="BX83" s="106"/>
      <c r="BY83" s="108"/>
      <c r="BZ83" s="106"/>
      <c r="CA83" s="108"/>
      <c r="CB83" s="106"/>
      <c r="CC83" s="108"/>
      <c r="CD83" s="106"/>
      <c r="CE83" s="108"/>
      <c r="CF83" s="189">
        <f>SUM(BX83+BZ83+CB83+CD83)</f>
        <v>0</v>
      </c>
      <c r="CG83" s="190"/>
    </row>
    <row r="84" spans="2:85" s="9" customFormat="1" ht="24" customHeight="1" x14ac:dyDescent="0.35">
      <c r="B84" s="109" t="s">
        <v>116</v>
      </c>
      <c r="C84" s="110"/>
      <c r="D84" s="110"/>
      <c r="E84" s="110"/>
      <c r="F84" s="111"/>
      <c r="G84" s="234" t="s">
        <v>199</v>
      </c>
      <c r="H84" s="235"/>
      <c r="I84" s="235"/>
      <c r="J84" s="235"/>
      <c r="K84" s="235"/>
      <c r="L84" s="235"/>
      <c r="M84" s="235"/>
      <c r="N84" s="235"/>
      <c r="O84" s="235"/>
      <c r="P84" s="235"/>
      <c r="Q84" s="235"/>
      <c r="R84" s="235"/>
      <c r="S84" s="235"/>
      <c r="T84" s="235"/>
      <c r="U84" s="235"/>
      <c r="V84" s="235"/>
      <c r="W84" s="235"/>
      <c r="X84" s="235"/>
      <c r="Y84" s="236"/>
      <c r="AA84" s="106"/>
      <c r="AB84" s="107"/>
      <c r="AC84" s="107"/>
      <c r="AD84" s="108"/>
      <c r="AF84" s="118"/>
      <c r="AG84" s="119"/>
      <c r="AH84" s="120"/>
      <c r="AJ84" s="197"/>
      <c r="AK84" s="198"/>
      <c r="AL84" s="199"/>
      <c r="AM84" s="215"/>
      <c r="AN84" s="215"/>
      <c r="AO84" s="215"/>
      <c r="AP84" s="215"/>
      <c r="AQ84" s="215"/>
      <c r="AR84" s="215"/>
      <c r="AS84" s="215"/>
      <c r="AT84" s="215"/>
      <c r="AU84" s="215"/>
      <c r="AV84" s="215"/>
      <c r="AW84" s="215"/>
      <c r="AX84" s="215"/>
      <c r="AZ84" s="34"/>
      <c r="BA84" s="34"/>
      <c r="BC84" s="34"/>
      <c r="BD84" s="25"/>
      <c r="BG84" s="35"/>
      <c r="BI84" s="32">
        <f>SUM(8*1000)</f>
        <v>8000</v>
      </c>
      <c r="BJ84" s="32">
        <f>SUM(8*500)</f>
        <v>4000</v>
      </c>
      <c r="BK84" s="30"/>
      <c r="BL84" s="30"/>
      <c r="BM84" s="30"/>
      <c r="BN84" s="36"/>
      <c r="BO84" s="171">
        <f>SUM(BI84+BJ84+BK84+BL84+BM84+BN84)</f>
        <v>12000</v>
      </c>
      <c r="BP84" s="172"/>
      <c r="BQ84" s="172"/>
      <c r="BR84" s="172"/>
      <c r="BS84" s="173"/>
      <c r="BT84" s="164">
        <f>SUM(100/BO121)*BO84</f>
        <v>4.6338308265595742E-2</v>
      </c>
      <c r="BU84" s="165"/>
      <c r="BV84" s="166"/>
      <c r="BX84" s="106"/>
      <c r="BY84" s="108"/>
      <c r="BZ84" s="106"/>
      <c r="CA84" s="108"/>
      <c r="CB84" s="106"/>
      <c r="CC84" s="108"/>
      <c r="CD84" s="106"/>
      <c r="CE84" s="108"/>
      <c r="CF84" s="189">
        <f>SUM(BX84+BZ84+CB84+CD84)</f>
        <v>0</v>
      </c>
      <c r="CG84" s="190"/>
    </row>
    <row r="85" spans="2:85" s="9" customFormat="1" ht="24" customHeight="1" x14ac:dyDescent="0.35">
      <c r="B85" s="109" t="s">
        <v>117</v>
      </c>
      <c r="C85" s="110"/>
      <c r="D85" s="110"/>
      <c r="E85" s="110"/>
      <c r="F85" s="111"/>
      <c r="G85" s="234" t="s">
        <v>16</v>
      </c>
      <c r="H85" s="235"/>
      <c r="I85" s="235"/>
      <c r="J85" s="235"/>
      <c r="K85" s="235"/>
      <c r="L85" s="235"/>
      <c r="M85" s="235"/>
      <c r="N85" s="235"/>
      <c r="O85" s="235"/>
      <c r="P85" s="235"/>
      <c r="Q85" s="235"/>
      <c r="R85" s="235"/>
      <c r="S85" s="235"/>
      <c r="T85" s="235"/>
      <c r="U85" s="235"/>
      <c r="V85" s="235"/>
      <c r="W85" s="235"/>
      <c r="X85" s="235"/>
      <c r="Y85" s="236"/>
      <c r="AA85" s="106"/>
      <c r="AB85" s="107"/>
      <c r="AC85" s="107"/>
      <c r="AD85" s="108"/>
      <c r="AF85" s="118"/>
      <c r="AG85" s="119"/>
      <c r="AH85" s="120"/>
      <c r="AJ85" s="112"/>
      <c r="AK85" s="113"/>
      <c r="AL85" s="114"/>
      <c r="AM85" s="197"/>
      <c r="AN85" s="198"/>
      <c r="AO85" s="199"/>
      <c r="AP85" s="215"/>
      <c r="AQ85" s="215"/>
      <c r="AR85" s="215"/>
      <c r="AS85" s="215"/>
      <c r="AT85" s="215"/>
      <c r="AU85" s="215"/>
      <c r="AV85" s="215"/>
      <c r="AW85" s="215"/>
      <c r="AX85" s="215"/>
      <c r="BA85" s="34"/>
      <c r="BD85" s="25"/>
      <c r="BG85" s="25"/>
      <c r="BI85" s="32">
        <f>SUM(5000+8*1000)</f>
        <v>13000</v>
      </c>
      <c r="BJ85" s="32">
        <f t="shared" ref="BJ85:BJ87" si="24">SUM(7*500)</f>
        <v>3500</v>
      </c>
      <c r="BK85" s="32">
        <f t="shared" ref="BK85" si="25">SUM(7*250)</f>
        <v>1750</v>
      </c>
      <c r="BL85" s="32">
        <f>SUM(7*3000)</f>
        <v>21000</v>
      </c>
      <c r="BM85" s="32">
        <f>SUM(7*50000)</f>
        <v>350000</v>
      </c>
      <c r="BN85" s="36"/>
      <c r="BO85" s="171">
        <f>SUM(BI85+BJ85+BK85+BL85+BM85+BN85)</f>
        <v>389250</v>
      </c>
      <c r="BP85" s="172"/>
      <c r="BQ85" s="172"/>
      <c r="BR85" s="172"/>
      <c r="BS85" s="173"/>
      <c r="BT85" s="164">
        <f>SUM(100/BO121)*BO85</f>
        <v>1.5030988743652618</v>
      </c>
      <c r="BU85" s="165"/>
      <c r="BV85" s="166"/>
      <c r="BX85" s="106"/>
      <c r="BY85" s="108"/>
      <c r="BZ85" s="106"/>
      <c r="CA85" s="108"/>
      <c r="CB85" s="106"/>
      <c r="CC85" s="108"/>
      <c r="CD85" s="106"/>
      <c r="CE85" s="108"/>
      <c r="CF85" s="189">
        <f>SUM(BX85+BZ85+CB85+CD85)</f>
        <v>0</v>
      </c>
      <c r="CG85" s="190"/>
    </row>
    <row r="86" spans="2:85" s="9" customFormat="1" ht="24" customHeight="1" x14ac:dyDescent="0.35">
      <c r="B86" s="109" t="s">
        <v>118</v>
      </c>
      <c r="C86" s="110"/>
      <c r="D86" s="110"/>
      <c r="E86" s="110"/>
      <c r="F86" s="111"/>
      <c r="G86" s="234" t="s">
        <v>18</v>
      </c>
      <c r="H86" s="235"/>
      <c r="I86" s="235"/>
      <c r="J86" s="235"/>
      <c r="K86" s="235"/>
      <c r="L86" s="235"/>
      <c r="M86" s="235"/>
      <c r="N86" s="235"/>
      <c r="O86" s="235"/>
      <c r="P86" s="235"/>
      <c r="Q86" s="235"/>
      <c r="R86" s="235"/>
      <c r="S86" s="235"/>
      <c r="T86" s="235"/>
      <c r="U86" s="235"/>
      <c r="V86" s="235"/>
      <c r="W86" s="235"/>
      <c r="X86" s="235"/>
      <c r="Y86" s="236"/>
      <c r="AA86" s="106"/>
      <c r="AB86" s="107"/>
      <c r="AC86" s="107"/>
      <c r="AD86" s="108"/>
      <c r="AF86" s="118"/>
      <c r="AG86" s="119"/>
      <c r="AH86" s="120"/>
      <c r="AJ86" s="215"/>
      <c r="AK86" s="215"/>
      <c r="AL86" s="215"/>
      <c r="AM86" s="197"/>
      <c r="AN86" s="198"/>
      <c r="AO86" s="199"/>
      <c r="AP86" s="215"/>
      <c r="AQ86" s="215"/>
      <c r="AR86" s="215"/>
      <c r="AS86" s="215"/>
      <c r="AT86" s="215"/>
      <c r="AU86" s="215"/>
      <c r="AV86" s="215"/>
      <c r="AW86" s="215"/>
      <c r="AX86" s="215"/>
      <c r="BA86" s="34"/>
      <c r="BD86" s="25"/>
      <c r="BI86" s="32">
        <f>SUM(5000+8*1000)</f>
        <v>13000</v>
      </c>
      <c r="BJ86" s="32">
        <f>SUM(7*500)</f>
        <v>3500</v>
      </c>
      <c r="BK86" s="30"/>
      <c r="BL86" s="30"/>
      <c r="BM86" s="30"/>
      <c r="BN86" s="36"/>
      <c r="BO86" s="171">
        <f>SUM(BI86+BJ86+BK86+BL86+BM86+BN86)</f>
        <v>16500</v>
      </c>
      <c r="BP86" s="172"/>
      <c r="BQ86" s="172"/>
      <c r="BR86" s="172"/>
      <c r="BS86" s="173"/>
      <c r="BT86" s="164">
        <f>SUM(100/BO121)*BO86</f>
        <v>6.3715173865194139E-2</v>
      </c>
      <c r="BU86" s="165"/>
      <c r="BV86" s="166"/>
      <c r="BX86" s="106"/>
      <c r="BY86" s="108"/>
      <c r="BZ86" s="106"/>
      <c r="CA86" s="108"/>
      <c r="CB86" s="106"/>
      <c r="CC86" s="108"/>
      <c r="CD86" s="106"/>
      <c r="CE86" s="108"/>
      <c r="CF86" s="189">
        <f>SUM(BX86+BZ86+CB86+CD86)</f>
        <v>0</v>
      </c>
      <c r="CG86" s="190"/>
    </row>
    <row r="87" spans="2:85" s="9" customFormat="1" ht="24" customHeight="1" x14ac:dyDescent="0.35">
      <c r="B87" s="109" t="s">
        <v>119</v>
      </c>
      <c r="C87" s="110"/>
      <c r="D87" s="110"/>
      <c r="E87" s="110"/>
      <c r="F87" s="111"/>
      <c r="G87" s="234" t="s">
        <v>153</v>
      </c>
      <c r="H87" s="235"/>
      <c r="I87" s="235"/>
      <c r="J87" s="235"/>
      <c r="K87" s="235"/>
      <c r="L87" s="235"/>
      <c r="M87" s="235"/>
      <c r="N87" s="235"/>
      <c r="O87" s="235"/>
      <c r="P87" s="235"/>
      <c r="Q87" s="235"/>
      <c r="R87" s="235"/>
      <c r="S87" s="235"/>
      <c r="T87" s="235"/>
      <c r="U87" s="235"/>
      <c r="V87" s="235"/>
      <c r="W87" s="235"/>
      <c r="X87" s="235"/>
      <c r="Y87" s="236"/>
      <c r="AA87" s="106"/>
      <c r="AB87" s="107"/>
      <c r="AC87" s="107"/>
      <c r="AD87" s="108"/>
      <c r="AF87" s="118"/>
      <c r="AG87" s="119"/>
      <c r="AH87" s="120"/>
      <c r="AJ87" s="215"/>
      <c r="AK87" s="215"/>
      <c r="AL87" s="215"/>
      <c r="AM87" s="215"/>
      <c r="AN87" s="215"/>
      <c r="AO87" s="215"/>
      <c r="AP87" s="197"/>
      <c r="AQ87" s="198"/>
      <c r="AR87" s="199"/>
      <c r="AS87" s="112"/>
      <c r="AT87" s="113"/>
      <c r="AU87" s="114"/>
      <c r="AV87" s="112"/>
      <c r="AW87" s="113"/>
      <c r="AX87" s="114"/>
      <c r="BA87" s="34"/>
      <c r="BD87" s="25"/>
      <c r="BE87" s="25"/>
      <c r="BF87" s="25"/>
      <c r="BG87" s="25"/>
      <c r="BI87" s="32">
        <f>SUM(5000+14*3000+14*1000)</f>
        <v>61000</v>
      </c>
      <c r="BJ87" s="32">
        <f t="shared" si="24"/>
        <v>3500</v>
      </c>
      <c r="BK87" s="32">
        <f>SUM(7*2*5000)</f>
        <v>70000</v>
      </c>
      <c r="BL87" s="32">
        <f xml:space="preserve"> SUM(8*2*3000)</f>
        <v>48000</v>
      </c>
      <c r="BM87" s="32">
        <f>SUM(14*200)</f>
        <v>2800</v>
      </c>
      <c r="BN87" s="36"/>
      <c r="BO87" s="171">
        <f>SUM(BI87+BJ87+BK87+BL87+BM87+BN87)</f>
        <v>185300</v>
      </c>
      <c r="BP87" s="172"/>
      <c r="BQ87" s="172"/>
      <c r="BR87" s="172"/>
      <c r="BS87" s="173"/>
      <c r="BT87" s="164">
        <f>SUM(100/BO121)*BO87</f>
        <v>0.71554071013457421</v>
      </c>
      <c r="BU87" s="165"/>
      <c r="BV87" s="166"/>
      <c r="BX87" s="106"/>
      <c r="BY87" s="108"/>
      <c r="BZ87" s="106"/>
      <c r="CA87" s="108"/>
      <c r="CB87" s="106"/>
      <c r="CC87" s="108"/>
      <c r="CD87" s="106"/>
      <c r="CE87" s="108"/>
      <c r="CF87" s="189">
        <f>SUM(BX87+BZ87+CB87+CD87)</f>
        <v>0</v>
      </c>
      <c r="CG87" s="190"/>
    </row>
    <row r="88" spans="2:85" ht="4.5" customHeight="1" x14ac:dyDescent="0.35">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30"/>
      <c r="BJ88" s="30"/>
      <c r="BK88" s="30"/>
      <c r="BL88" s="30"/>
      <c r="BM88" s="30"/>
      <c r="BN88" s="30"/>
      <c r="BO88" s="30"/>
      <c r="BP88" s="30"/>
      <c r="BQ88" s="30"/>
      <c r="BR88" s="30"/>
      <c r="BS88" s="30"/>
      <c r="BT88" s="41"/>
      <c r="BU88" s="42"/>
      <c r="BV88" s="42"/>
      <c r="BW88" s="9"/>
      <c r="BX88" s="8"/>
      <c r="BY88" s="8"/>
      <c r="BZ88" s="8"/>
      <c r="CA88" s="8"/>
      <c r="CB88" s="8"/>
      <c r="CC88" s="8"/>
      <c r="CD88" s="8"/>
      <c r="CE88" s="8"/>
      <c r="CF88" s="8"/>
      <c r="CG88" s="8"/>
    </row>
    <row r="89" spans="2:85" s="9" customFormat="1" ht="24" customHeight="1" x14ac:dyDescent="0.35">
      <c r="B89" s="194" t="s">
        <v>114</v>
      </c>
      <c r="C89" s="195"/>
      <c r="D89" s="195"/>
      <c r="E89" s="195"/>
      <c r="F89" s="196"/>
      <c r="G89" s="103" t="s">
        <v>120</v>
      </c>
      <c r="H89" s="104"/>
      <c r="I89" s="104"/>
      <c r="J89" s="104"/>
      <c r="K89" s="104"/>
      <c r="L89" s="104"/>
      <c r="M89" s="104"/>
      <c r="N89" s="104"/>
      <c r="O89" s="104"/>
      <c r="P89" s="104"/>
      <c r="Q89" s="104"/>
      <c r="R89" s="104"/>
      <c r="S89" s="104"/>
      <c r="T89" s="104"/>
      <c r="U89" s="104"/>
      <c r="V89" s="104"/>
      <c r="W89" s="104"/>
      <c r="X89" s="104"/>
      <c r="Y89" s="105"/>
      <c r="Z89" s="8"/>
      <c r="AA89" s="189">
        <f>SUM(AA83:AA87)</f>
        <v>0</v>
      </c>
      <c r="AB89" s="201"/>
      <c r="AC89" s="201"/>
      <c r="AD89" s="190"/>
      <c r="AE89" s="8"/>
      <c r="AF89" s="174">
        <f>MEDIAN(AF83:AF87)</f>
        <v>0</v>
      </c>
      <c r="AG89" s="175"/>
      <c r="AH89" s="176"/>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56">
        <f t="shared" ref="BI89:BN89" si="26">SUM(BI83:BI87)</f>
        <v>103000</v>
      </c>
      <c r="BJ89" s="56">
        <f t="shared" si="26"/>
        <v>18000</v>
      </c>
      <c r="BK89" s="56">
        <f t="shared" si="26"/>
        <v>71750</v>
      </c>
      <c r="BL89" s="56">
        <f t="shared" si="26"/>
        <v>69000</v>
      </c>
      <c r="BM89" s="56">
        <f t="shared" si="26"/>
        <v>354200</v>
      </c>
      <c r="BN89" s="56">
        <f t="shared" si="26"/>
        <v>0</v>
      </c>
      <c r="BO89" s="171">
        <f>SUM(BI89+BJ89+BK89+BL89+BM89+BN89)</f>
        <v>615950</v>
      </c>
      <c r="BP89" s="172"/>
      <c r="BQ89" s="172"/>
      <c r="BR89" s="172"/>
      <c r="BS89" s="173"/>
      <c r="BT89" s="164">
        <f>SUM(100/BO121)*BO89</f>
        <v>2.3785067480161413</v>
      </c>
      <c r="BU89" s="165"/>
      <c r="BV89" s="166"/>
      <c r="BW89" s="8"/>
      <c r="BX89" s="174">
        <f>SUM(BX83:BX87)</f>
        <v>0</v>
      </c>
      <c r="BY89" s="176"/>
      <c r="BZ89" s="174">
        <f>SUM(BZ83:BZ87)</f>
        <v>0</v>
      </c>
      <c r="CA89" s="176"/>
      <c r="CB89" s="174">
        <f>SUM(CB83:CB87)</f>
        <v>0</v>
      </c>
      <c r="CC89" s="176"/>
      <c r="CD89" s="174">
        <f>SUM(CD83:CD87)</f>
        <v>0</v>
      </c>
      <c r="CE89" s="176"/>
      <c r="CF89" s="174">
        <f>SUM(CF83:CF87)</f>
        <v>0</v>
      </c>
      <c r="CG89" s="176"/>
    </row>
    <row r="90" spans="2:85" ht="4.5" customHeight="1" x14ac:dyDescent="0.35">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8"/>
      <c r="BY90" s="8"/>
      <c r="BZ90" s="8"/>
      <c r="CA90" s="8"/>
      <c r="CB90" s="8"/>
      <c r="CC90" s="8"/>
      <c r="CD90" s="8"/>
      <c r="CE90" s="8"/>
      <c r="CF90" s="8"/>
      <c r="CG90" s="8"/>
    </row>
    <row r="91" spans="2:85" ht="4.5" customHeight="1" x14ac:dyDescent="0.35">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8"/>
      <c r="BY91" s="8"/>
      <c r="BZ91" s="8"/>
      <c r="CA91" s="8"/>
      <c r="CB91" s="8"/>
      <c r="CC91" s="8"/>
      <c r="CD91" s="8"/>
      <c r="CE91" s="8"/>
      <c r="CF91" s="8"/>
      <c r="CG91" s="8"/>
    </row>
    <row r="92" spans="2:85" ht="19.5" customHeight="1" x14ac:dyDescent="0.35">
      <c r="B92" s="149" t="s">
        <v>54</v>
      </c>
      <c r="C92" s="150"/>
      <c r="D92" s="150"/>
      <c r="E92" s="150"/>
      <c r="F92" s="151"/>
      <c r="G92" s="149" t="s">
        <v>147</v>
      </c>
      <c r="H92" s="150"/>
      <c r="I92" s="150"/>
      <c r="J92" s="150"/>
      <c r="K92" s="150"/>
      <c r="L92" s="150"/>
      <c r="M92" s="150"/>
      <c r="N92" s="150"/>
      <c r="O92" s="150"/>
      <c r="P92" s="150"/>
      <c r="Q92" s="150"/>
      <c r="R92" s="150"/>
      <c r="S92" s="150"/>
      <c r="T92" s="150"/>
      <c r="U92" s="150"/>
      <c r="V92" s="150"/>
      <c r="W92" s="150"/>
      <c r="X92" s="150"/>
      <c r="Y92" s="151"/>
      <c r="AA92" s="205" t="s">
        <v>161</v>
      </c>
      <c r="AB92" s="206"/>
      <c r="AC92" s="206"/>
      <c r="AD92" s="207"/>
      <c r="AF92" s="205" t="s">
        <v>162</v>
      </c>
      <c r="AG92" s="206"/>
      <c r="AH92" s="207"/>
      <c r="AJ92" s="162" t="s">
        <v>177</v>
      </c>
      <c r="AK92" s="162"/>
      <c r="AL92" s="162"/>
      <c r="AM92" s="162"/>
      <c r="AN92" s="162"/>
      <c r="AO92" s="162"/>
      <c r="AP92" s="162"/>
      <c r="AQ92" s="162"/>
      <c r="AR92" s="162"/>
      <c r="AS92" s="162"/>
      <c r="AT92" s="162"/>
      <c r="AU92" s="162"/>
      <c r="AV92" s="162"/>
      <c r="AW92" s="162"/>
      <c r="AX92" s="162"/>
      <c r="AZ92" s="115" t="s">
        <v>163</v>
      </c>
      <c r="BA92" s="116"/>
      <c r="BB92" s="116"/>
      <c r="BC92" s="116"/>
      <c r="BD92" s="116"/>
      <c r="BE92" s="116"/>
      <c r="BF92" s="116"/>
      <c r="BG92" s="117"/>
      <c r="BH92" s="9"/>
      <c r="BI92" s="115" t="s">
        <v>164</v>
      </c>
      <c r="BJ92" s="116"/>
      <c r="BK92" s="116"/>
      <c r="BL92" s="116"/>
      <c r="BM92" s="116"/>
      <c r="BN92" s="116"/>
      <c r="BO92" s="116"/>
      <c r="BP92" s="116"/>
      <c r="BQ92" s="116"/>
      <c r="BR92" s="116"/>
      <c r="BS92" s="116"/>
      <c r="BT92" s="116"/>
      <c r="BU92" s="116"/>
      <c r="BV92" s="117"/>
      <c r="BW92" s="9"/>
      <c r="BX92" s="205" t="s">
        <v>176</v>
      </c>
      <c r="BY92" s="206"/>
      <c r="BZ92" s="206"/>
      <c r="CA92" s="206"/>
      <c r="CB92" s="206"/>
      <c r="CC92" s="206"/>
      <c r="CD92" s="206"/>
      <c r="CE92" s="206"/>
      <c r="CF92" s="206"/>
      <c r="CG92" s="207"/>
    </row>
    <row r="93" spans="2:85" ht="16" customHeight="1" x14ac:dyDescent="0.35">
      <c r="B93" s="152"/>
      <c r="C93" s="153"/>
      <c r="D93" s="153"/>
      <c r="E93" s="153"/>
      <c r="F93" s="154"/>
      <c r="G93" s="152"/>
      <c r="H93" s="153"/>
      <c r="I93" s="153"/>
      <c r="J93" s="153"/>
      <c r="K93" s="153"/>
      <c r="L93" s="153"/>
      <c r="M93" s="153"/>
      <c r="N93" s="153"/>
      <c r="O93" s="153"/>
      <c r="P93" s="153"/>
      <c r="Q93" s="153"/>
      <c r="R93" s="153"/>
      <c r="S93" s="153"/>
      <c r="T93" s="153"/>
      <c r="U93" s="153"/>
      <c r="V93" s="153"/>
      <c r="W93" s="153"/>
      <c r="X93" s="153"/>
      <c r="Y93" s="154"/>
      <c r="AA93" s="152" t="s">
        <v>134</v>
      </c>
      <c r="AB93" s="153"/>
      <c r="AC93" s="153"/>
      <c r="AD93" s="154"/>
      <c r="AF93" s="152" t="s">
        <v>155</v>
      </c>
      <c r="AG93" s="153"/>
      <c r="AH93" s="154"/>
      <c r="AJ93" s="162"/>
      <c r="AK93" s="162"/>
      <c r="AL93" s="162"/>
      <c r="AM93" s="162"/>
      <c r="AN93" s="162"/>
      <c r="AO93" s="162"/>
      <c r="AP93" s="162"/>
      <c r="AQ93" s="162"/>
      <c r="AR93" s="162"/>
      <c r="AS93" s="162"/>
      <c r="AT93" s="162"/>
      <c r="AU93" s="162"/>
      <c r="AV93" s="162"/>
      <c r="AW93" s="162"/>
      <c r="AX93" s="162"/>
      <c r="AZ93" s="174" t="s">
        <v>55</v>
      </c>
      <c r="BA93" s="175"/>
      <c r="BB93" s="175"/>
      <c r="BC93" s="176"/>
      <c r="BD93" s="174" t="s">
        <v>56</v>
      </c>
      <c r="BE93" s="175"/>
      <c r="BF93" s="176"/>
      <c r="BG93" s="24" t="s">
        <v>48</v>
      </c>
      <c r="BH93" s="9"/>
      <c r="BI93" s="82" t="s">
        <v>67</v>
      </c>
      <c r="BJ93" s="83"/>
      <c r="BK93" s="83"/>
      <c r="BL93" s="83"/>
      <c r="BM93" s="83"/>
      <c r="BN93" s="83"/>
      <c r="BO93" s="83"/>
      <c r="BP93" s="83"/>
      <c r="BQ93" s="83"/>
      <c r="BR93" s="83"/>
      <c r="BS93" s="84"/>
      <c r="BT93" s="219" t="s">
        <v>175</v>
      </c>
      <c r="BU93" s="220"/>
      <c r="BV93" s="221"/>
      <c r="BW93" s="9"/>
      <c r="BX93" s="208"/>
      <c r="BY93" s="209"/>
      <c r="BZ93" s="209"/>
      <c r="CA93" s="209"/>
      <c r="CB93" s="209"/>
      <c r="CC93" s="209"/>
      <c r="CD93" s="209"/>
      <c r="CE93" s="209"/>
      <c r="CF93" s="209"/>
      <c r="CG93" s="210"/>
    </row>
    <row r="94" spans="2:85" ht="16" customHeight="1" x14ac:dyDescent="0.35">
      <c r="B94" s="152"/>
      <c r="C94" s="153"/>
      <c r="D94" s="153"/>
      <c r="E94" s="153"/>
      <c r="F94" s="154"/>
      <c r="G94" s="152"/>
      <c r="H94" s="153"/>
      <c r="I94" s="153"/>
      <c r="J94" s="153"/>
      <c r="K94" s="153"/>
      <c r="L94" s="153"/>
      <c r="M94" s="153"/>
      <c r="N94" s="153"/>
      <c r="O94" s="153"/>
      <c r="P94" s="153"/>
      <c r="Q94" s="153"/>
      <c r="R94" s="153"/>
      <c r="S94" s="153"/>
      <c r="T94" s="153"/>
      <c r="U94" s="153"/>
      <c r="V94" s="153"/>
      <c r="W94" s="153"/>
      <c r="X94" s="153"/>
      <c r="Y94" s="154"/>
      <c r="AA94" s="152"/>
      <c r="AB94" s="153"/>
      <c r="AC94" s="153"/>
      <c r="AD94" s="154"/>
      <c r="AF94" s="152"/>
      <c r="AG94" s="153"/>
      <c r="AH94" s="154"/>
      <c r="AJ94" s="163" t="s">
        <v>44</v>
      </c>
      <c r="AK94" s="163"/>
      <c r="AL94" s="163"/>
      <c r="AM94" s="163"/>
      <c r="AN94" s="163"/>
      <c r="AO94" s="163"/>
      <c r="AP94" s="163"/>
      <c r="AQ94" s="163"/>
      <c r="AR94" s="163"/>
      <c r="AS94" s="163"/>
      <c r="AT94" s="163"/>
      <c r="AU94" s="163"/>
      <c r="AV94" s="163"/>
      <c r="AW94" s="163"/>
      <c r="AX94" s="163"/>
      <c r="AZ94" s="63" t="s">
        <v>161</v>
      </c>
      <c r="BA94" s="63" t="s">
        <v>162</v>
      </c>
      <c r="BB94" s="63" t="s">
        <v>165</v>
      </c>
      <c r="BC94" s="63" t="s">
        <v>166</v>
      </c>
      <c r="BD94" s="63" t="s">
        <v>167</v>
      </c>
      <c r="BE94" s="63" t="s">
        <v>168</v>
      </c>
      <c r="BF94" s="63" t="s">
        <v>169</v>
      </c>
      <c r="BG94" s="63" t="s">
        <v>170</v>
      </c>
      <c r="BH94" s="9"/>
      <c r="BI94" s="167" t="s">
        <v>216</v>
      </c>
      <c r="BJ94" s="167" t="s">
        <v>171</v>
      </c>
      <c r="BK94" s="167" t="s">
        <v>215</v>
      </c>
      <c r="BL94" s="167" t="s">
        <v>172</v>
      </c>
      <c r="BM94" s="167" t="s">
        <v>217</v>
      </c>
      <c r="BN94" s="167" t="s">
        <v>173</v>
      </c>
      <c r="BO94" s="219" t="s">
        <v>174</v>
      </c>
      <c r="BP94" s="220"/>
      <c r="BQ94" s="220"/>
      <c r="BR94" s="220"/>
      <c r="BS94" s="221"/>
      <c r="BT94" s="225"/>
      <c r="BU94" s="226"/>
      <c r="BV94" s="227"/>
      <c r="BW94" s="9"/>
      <c r="BX94" s="211"/>
      <c r="BY94" s="212"/>
      <c r="BZ94" s="212"/>
      <c r="CA94" s="212"/>
      <c r="CB94" s="212"/>
      <c r="CC94" s="212"/>
      <c r="CD94" s="212"/>
      <c r="CE94" s="212"/>
      <c r="CF94" s="212"/>
      <c r="CG94" s="213"/>
    </row>
    <row r="95" spans="2:85" ht="30.5" customHeight="1" x14ac:dyDescent="0.35">
      <c r="B95" s="155"/>
      <c r="C95" s="156"/>
      <c r="D95" s="156"/>
      <c r="E95" s="156"/>
      <c r="F95" s="157"/>
      <c r="G95" s="155"/>
      <c r="H95" s="156"/>
      <c r="I95" s="156"/>
      <c r="J95" s="156"/>
      <c r="K95" s="156"/>
      <c r="L95" s="156"/>
      <c r="M95" s="156"/>
      <c r="N95" s="156"/>
      <c r="O95" s="156"/>
      <c r="P95" s="156"/>
      <c r="Q95" s="156"/>
      <c r="R95" s="156"/>
      <c r="S95" s="156"/>
      <c r="T95" s="156"/>
      <c r="U95" s="156"/>
      <c r="V95" s="156"/>
      <c r="W95" s="156"/>
      <c r="X95" s="156"/>
      <c r="Y95" s="157"/>
      <c r="AA95" s="155"/>
      <c r="AB95" s="156"/>
      <c r="AC95" s="156"/>
      <c r="AD95" s="157"/>
      <c r="AF95" s="155"/>
      <c r="AG95" s="156"/>
      <c r="AH95" s="157"/>
      <c r="AJ95" s="161">
        <v>2026</v>
      </c>
      <c r="AK95" s="161"/>
      <c r="AL95" s="161"/>
      <c r="AM95" s="161">
        <v>2027</v>
      </c>
      <c r="AN95" s="161"/>
      <c r="AO95" s="161"/>
      <c r="AP95" s="161">
        <v>2028</v>
      </c>
      <c r="AQ95" s="161"/>
      <c r="AR95" s="161"/>
      <c r="AS95" s="161">
        <v>2029</v>
      </c>
      <c r="AT95" s="161"/>
      <c r="AU95" s="161"/>
      <c r="AV95" s="161">
        <v>2030</v>
      </c>
      <c r="AW95" s="161"/>
      <c r="AX95" s="161"/>
      <c r="AZ95" s="24" t="s">
        <v>46</v>
      </c>
      <c r="BA95" s="24" t="s">
        <v>45</v>
      </c>
      <c r="BB95" s="24" t="s">
        <v>47</v>
      </c>
      <c r="BC95" s="24" t="s">
        <v>49</v>
      </c>
      <c r="BD95" s="24" t="s">
        <v>50</v>
      </c>
      <c r="BE95" s="24" t="s">
        <v>51</v>
      </c>
      <c r="BF95" s="24" t="s">
        <v>64</v>
      </c>
      <c r="BG95" s="24" t="s">
        <v>48</v>
      </c>
      <c r="BH95" s="9"/>
      <c r="BI95" s="167"/>
      <c r="BJ95" s="167"/>
      <c r="BK95" s="167"/>
      <c r="BL95" s="167"/>
      <c r="BM95" s="167"/>
      <c r="BN95" s="167"/>
      <c r="BO95" s="222"/>
      <c r="BP95" s="223"/>
      <c r="BQ95" s="223"/>
      <c r="BR95" s="223"/>
      <c r="BS95" s="224"/>
      <c r="BT95" s="222"/>
      <c r="BU95" s="223"/>
      <c r="BV95" s="224"/>
      <c r="BW95" s="9"/>
      <c r="BX95" s="200" t="s">
        <v>8</v>
      </c>
      <c r="BY95" s="200"/>
      <c r="BZ95" s="200" t="s">
        <v>9</v>
      </c>
      <c r="CA95" s="200"/>
      <c r="CB95" s="200" t="s">
        <v>10</v>
      </c>
      <c r="CC95" s="200"/>
      <c r="CD95" s="192" t="s">
        <v>11</v>
      </c>
      <c r="CE95" s="193"/>
      <c r="CF95" s="192" t="s">
        <v>19</v>
      </c>
      <c r="CG95" s="193"/>
    </row>
    <row r="96" spans="2:85" ht="4.5" customHeight="1" x14ac:dyDescent="0.35">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8"/>
      <c r="BY96" s="8"/>
      <c r="BZ96" s="8"/>
      <c r="CA96" s="8"/>
      <c r="CB96" s="8"/>
      <c r="CC96" s="8"/>
      <c r="CD96" s="8"/>
      <c r="CE96" s="8"/>
      <c r="CF96" s="8"/>
      <c r="CG96" s="8"/>
    </row>
    <row r="97" spans="2:85" s="9" customFormat="1" ht="24" customHeight="1" x14ac:dyDescent="0.35">
      <c r="B97" s="194" t="s">
        <v>121</v>
      </c>
      <c r="C97" s="195"/>
      <c r="D97" s="195"/>
      <c r="E97" s="195"/>
      <c r="F97" s="196"/>
      <c r="G97" s="194" t="s">
        <v>206</v>
      </c>
      <c r="H97" s="195"/>
      <c r="I97" s="195"/>
      <c r="J97" s="195"/>
      <c r="K97" s="195"/>
      <c r="L97" s="195"/>
      <c r="M97" s="195"/>
      <c r="N97" s="195"/>
      <c r="O97" s="195"/>
      <c r="P97" s="195"/>
      <c r="Q97" s="195"/>
      <c r="R97" s="195"/>
      <c r="S97" s="195"/>
      <c r="T97" s="195"/>
      <c r="U97" s="195"/>
      <c r="V97" s="195"/>
      <c r="W97" s="195"/>
      <c r="X97" s="195"/>
      <c r="Y97" s="196"/>
      <c r="BI97" s="30"/>
      <c r="BJ97" s="30"/>
      <c r="BK97" s="30"/>
      <c r="BL97" s="30"/>
      <c r="BM97" s="30"/>
      <c r="BN97" s="30"/>
      <c r="BO97" s="28"/>
      <c r="BP97" s="28"/>
      <c r="BQ97" s="28"/>
      <c r="BR97" s="28"/>
      <c r="BS97" s="28"/>
      <c r="BT97" s="28"/>
      <c r="BU97" s="27"/>
      <c r="BV97" s="27"/>
      <c r="BX97" s="191"/>
      <c r="BY97" s="191"/>
      <c r="BZ97" s="191"/>
      <c r="CA97" s="191"/>
      <c r="CB97" s="191"/>
      <c r="CC97" s="191"/>
      <c r="CD97" s="191"/>
      <c r="CE97" s="191"/>
      <c r="CF97" s="191"/>
      <c r="CG97" s="191"/>
    </row>
    <row r="98" spans="2:85" s="9" customFormat="1" ht="24" customHeight="1" x14ac:dyDescent="0.35">
      <c r="B98" s="109" t="s">
        <v>122</v>
      </c>
      <c r="C98" s="110"/>
      <c r="D98" s="110"/>
      <c r="E98" s="110"/>
      <c r="F98" s="111"/>
      <c r="G98" s="234" t="s">
        <v>211</v>
      </c>
      <c r="H98" s="235"/>
      <c r="I98" s="235"/>
      <c r="J98" s="235"/>
      <c r="K98" s="235"/>
      <c r="L98" s="235"/>
      <c r="M98" s="235"/>
      <c r="N98" s="235"/>
      <c r="O98" s="235"/>
      <c r="P98" s="235"/>
      <c r="Q98" s="235"/>
      <c r="R98" s="235"/>
      <c r="S98" s="235"/>
      <c r="T98" s="235"/>
      <c r="U98" s="235"/>
      <c r="V98" s="235"/>
      <c r="W98" s="235"/>
      <c r="X98" s="235"/>
      <c r="Y98" s="236"/>
      <c r="AA98" s="106"/>
      <c r="AB98" s="107"/>
      <c r="AC98" s="107"/>
      <c r="AD98" s="108"/>
      <c r="AF98" s="118">
        <v>0</v>
      </c>
      <c r="AG98" s="119"/>
      <c r="AH98" s="120"/>
      <c r="AJ98" s="197"/>
      <c r="AK98" s="198"/>
      <c r="AL98" s="199"/>
      <c r="AM98" s="112"/>
      <c r="AN98" s="113"/>
      <c r="AO98" s="114"/>
      <c r="AP98" s="112"/>
      <c r="AQ98" s="113"/>
      <c r="AR98" s="114"/>
      <c r="AS98" s="112"/>
      <c r="AT98" s="113"/>
      <c r="AU98" s="114"/>
      <c r="AV98" s="112"/>
      <c r="AW98" s="113"/>
      <c r="AX98" s="114"/>
      <c r="AZ98" s="34"/>
      <c r="BA98" s="34"/>
      <c r="BC98" s="34"/>
      <c r="BD98" s="25"/>
      <c r="BG98" s="35"/>
      <c r="BI98" s="32">
        <f>SUM(8*1000)</f>
        <v>8000</v>
      </c>
      <c r="BJ98" s="32">
        <f>SUM(7*500)</f>
        <v>3500</v>
      </c>
      <c r="BK98" s="30"/>
      <c r="BL98" s="30"/>
      <c r="BM98" s="30"/>
      <c r="BN98" s="30"/>
      <c r="BO98" s="171">
        <f>SUM(BI98+BJ98+BK98+BL98+BM98+BN98)</f>
        <v>11500</v>
      </c>
      <c r="BP98" s="172"/>
      <c r="BQ98" s="172"/>
      <c r="BR98" s="172"/>
      <c r="BS98" s="173"/>
      <c r="BT98" s="164">
        <f>SUM(100/BO121)*BO98</f>
        <v>4.4407545421195918E-2</v>
      </c>
      <c r="BU98" s="165"/>
      <c r="BV98" s="166"/>
      <c r="BX98" s="106"/>
      <c r="BY98" s="108"/>
      <c r="BZ98" s="106"/>
      <c r="CA98" s="108"/>
      <c r="CB98" s="106"/>
      <c r="CC98" s="108"/>
      <c r="CD98" s="106"/>
      <c r="CE98" s="108"/>
      <c r="CF98" s="189">
        <f>SUM(BX98+BZ98+CB98+CD98)</f>
        <v>0</v>
      </c>
      <c r="CG98" s="190"/>
    </row>
    <row r="99" spans="2:85" s="9" customFormat="1" ht="24" customHeight="1" x14ac:dyDescent="0.35">
      <c r="B99" s="109" t="s">
        <v>123</v>
      </c>
      <c r="C99" s="110"/>
      <c r="D99" s="110"/>
      <c r="E99" s="110"/>
      <c r="F99" s="111"/>
      <c r="G99" s="234" t="s">
        <v>200</v>
      </c>
      <c r="H99" s="235"/>
      <c r="I99" s="235"/>
      <c r="J99" s="235"/>
      <c r="K99" s="235"/>
      <c r="L99" s="235"/>
      <c r="M99" s="235"/>
      <c r="N99" s="235"/>
      <c r="O99" s="235"/>
      <c r="P99" s="235"/>
      <c r="Q99" s="235"/>
      <c r="R99" s="235"/>
      <c r="S99" s="235"/>
      <c r="T99" s="235"/>
      <c r="U99" s="235"/>
      <c r="V99" s="235"/>
      <c r="W99" s="235"/>
      <c r="X99" s="235"/>
      <c r="Y99" s="236"/>
      <c r="AA99" s="106"/>
      <c r="AB99" s="107"/>
      <c r="AC99" s="107"/>
      <c r="AD99" s="108"/>
      <c r="AF99" s="118"/>
      <c r="AG99" s="119"/>
      <c r="AH99" s="120"/>
      <c r="AJ99" s="197"/>
      <c r="AK99" s="198"/>
      <c r="AL99" s="199"/>
      <c r="AM99" s="112"/>
      <c r="AN99" s="113"/>
      <c r="AO99" s="114"/>
      <c r="AP99" s="112"/>
      <c r="AQ99" s="113"/>
      <c r="AR99" s="114"/>
      <c r="AS99" s="112"/>
      <c r="AT99" s="113"/>
      <c r="AU99" s="114"/>
      <c r="AV99" s="112"/>
      <c r="AW99" s="113"/>
      <c r="AX99" s="114"/>
      <c r="BA99" s="34"/>
      <c r="BC99" s="34"/>
      <c r="BD99" s="25"/>
      <c r="BG99" s="35"/>
      <c r="BI99" s="32">
        <f>SUM(8000+7*1000)</f>
        <v>15000</v>
      </c>
      <c r="BJ99" s="30"/>
      <c r="BK99" s="30"/>
      <c r="BL99" s="30"/>
      <c r="BM99" s="30"/>
      <c r="BN99" s="30"/>
      <c r="BO99" s="171">
        <f>SUM(BI99+BJ99+BK99+BL99+BM99+BN99)</f>
        <v>15000</v>
      </c>
      <c r="BP99" s="172"/>
      <c r="BQ99" s="172"/>
      <c r="BR99" s="172"/>
      <c r="BS99" s="173"/>
      <c r="BT99" s="164">
        <f>SUM(100/BO121)*BO99</f>
        <v>5.7922885331994675E-2</v>
      </c>
      <c r="BU99" s="165"/>
      <c r="BV99" s="166"/>
      <c r="BX99" s="106"/>
      <c r="BY99" s="108"/>
      <c r="BZ99" s="106"/>
      <c r="CA99" s="108"/>
      <c r="CB99" s="106"/>
      <c r="CC99" s="108"/>
      <c r="CD99" s="106"/>
      <c r="CE99" s="108"/>
      <c r="CF99" s="189">
        <f>SUM(BX99+BZ99+CB99+CD99)</f>
        <v>0</v>
      </c>
      <c r="CG99" s="190"/>
    </row>
    <row r="100" spans="2:85" s="9" customFormat="1" ht="24" customHeight="1" x14ac:dyDescent="0.35">
      <c r="B100" s="109" t="s">
        <v>124</v>
      </c>
      <c r="C100" s="110"/>
      <c r="D100" s="110"/>
      <c r="E100" s="110"/>
      <c r="F100" s="111"/>
      <c r="G100" s="234" t="s">
        <v>201</v>
      </c>
      <c r="H100" s="235"/>
      <c r="I100" s="235"/>
      <c r="J100" s="235"/>
      <c r="K100" s="235"/>
      <c r="L100" s="235"/>
      <c r="M100" s="235"/>
      <c r="N100" s="235"/>
      <c r="O100" s="235"/>
      <c r="P100" s="235"/>
      <c r="Q100" s="235"/>
      <c r="R100" s="235"/>
      <c r="S100" s="235"/>
      <c r="T100" s="235"/>
      <c r="U100" s="235"/>
      <c r="V100" s="235"/>
      <c r="W100" s="235"/>
      <c r="X100" s="235"/>
      <c r="Y100" s="236"/>
      <c r="AA100" s="106"/>
      <c r="AB100" s="107"/>
      <c r="AC100" s="107"/>
      <c r="AD100" s="108"/>
      <c r="AF100" s="118"/>
      <c r="AG100" s="119"/>
      <c r="AH100" s="120"/>
      <c r="AJ100" s="215"/>
      <c r="AK100" s="215"/>
      <c r="AL100" s="215"/>
      <c r="AM100" s="197"/>
      <c r="AN100" s="198"/>
      <c r="AO100" s="199"/>
      <c r="AP100" s="112"/>
      <c r="AQ100" s="113"/>
      <c r="AR100" s="114"/>
      <c r="AS100" s="112"/>
      <c r="AT100" s="113"/>
      <c r="AU100" s="114"/>
      <c r="AV100" s="112"/>
      <c r="AW100" s="113"/>
      <c r="AX100" s="114"/>
      <c r="BA100" s="34"/>
      <c r="BD100" s="25"/>
      <c r="BG100" s="35"/>
      <c r="BI100" s="32">
        <f>SUM(5000+8*1000)</f>
        <v>13000</v>
      </c>
      <c r="BJ100" s="30"/>
      <c r="BK100" s="30"/>
      <c r="BL100" s="32">
        <f xml:space="preserve"> SUM(8*2*3000)</f>
        <v>48000</v>
      </c>
      <c r="BM100" s="30"/>
      <c r="BN100" s="36"/>
      <c r="BO100" s="171">
        <f>SUM(BI100+BJ100+BK100+BL100+BM100+BN100)</f>
        <v>61000</v>
      </c>
      <c r="BP100" s="172"/>
      <c r="BQ100" s="172"/>
      <c r="BR100" s="172"/>
      <c r="BS100" s="173"/>
      <c r="BT100" s="164">
        <f>SUM(100/BO121)*BO100</f>
        <v>0.23555306701677836</v>
      </c>
      <c r="BU100" s="165"/>
      <c r="BV100" s="166"/>
      <c r="BX100" s="106"/>
      <c r="BY100" s="108"/>
      <c r="BZ100" s="106"/>
      <c r="CA100" s="108"/>
      <c r="CB100" s="106"/>
      <c r="CC100" s="108"/>
      <c r="CD100" s="106"/>
      <c r="CE100" s="108"/>
      <c r="CF100" s="189">
        <f>SUM(BX100+BZ100+CB100+CD100)</f>
        <v>0</v>
      </c>
      <c r="CG100" s="190"/>
    </row>
    <row r="101" spans="2:85" s="9" customFormat="1" ht="24" customHeight="1" x14ac:dyDescent="0.35">
      <c r="B101" s="109" t="s">
        <v>125</v>
      </c>
      <c r="C101" s="110"/>
      <c r="D101" s="110"/>
      <c r="E101" s="110"/>
      <c r="F101" s="111"/>
      <c r="G101" s="234" t="s">
        <v>202</v>
      </c>
      <c r="H101" s="235"/>
      <c r="I101" s="235"/>
      <c r="J101" s="235"/>
      <c r="K101" s="235"/>
      <c r="L101" s="235"/>
      <c r="M101" s="235"/>
      <c r="N101" s="235"/>
      <c r="O101" s="235"/>
      <c r="P101" s="235"/>
      <c r="Q101" s="235"/>
      <c r="R101" s="235"/>
      <c r="S101" s="235"/>
      <c r="T101" s="235"/>
      <c r="U101" s="235"/>
      <c r="V101" s="235"/>
      <c r="W101" s="235"/>
      <c r="X101" s="235"/>
      <c r="Y101" s="236"/>
      <c r="AA101" s="106"/>
      <c r="AB101" s="107"/>
      <c r="AC101" s="107"/>
      <c r="AD101" s="108"/>
      <c r="AF101" s="118"/>
      <c r="AG101" s="119"/>
      <c r="AH101" s="120"/>
      <c r="AJ101" s="215"/>
      <c r="AK101" s="215"/>
      <c r="AL101" s="215"/>
      <c r="AM101" s="215"/>
      <c r="AN101" s="215"/>
      <c r="AO101" s="215"/>
      <c r="AP101" s="197"/>
      <c r="AQ101" s="198"/>
      <c r="AR101" s="199"/>
      <c r="AS101" s="112"/>
      <c r="AT101" s="113"/>
      <c r="AU101" s="114"/>
      <c r="AV101" s="112"/>
      <c r="AW101" s="113"/>
      <c r="AX101" s="114"/>
      <c r="BA101" s="34"/>
      <c r="BD101" s="25"/>
      <c r="BE101" s="25"/>
      <c r="BF101" s="25"/>
      <c r="BG101" s="35"/>
      <c r="BI101" s="32">
        <f>SUM(8*1000)</f>
        <v>8000</v>
      </c>
      <c r="BJ101" s="32">
        <f>SUM(8*1000)</f>
        <v>8000</v>
      </c>
      <c r="BK101" s="30"/>
      <c r="BL101" s="32">
        <f xml:space="preserve"> SUM(8*2*3000)</f>
        <v>48000</v>
      </c>
      <c r="BM101" s="32">
        <f>SUM(7*1000)</f>
        <v>7000</v>
      </c>
      <c r="BN101" s="30"/>
      <c r="BO101" s="171">
        <f>SUM(BI101+BJ101+BK101+BL101+BM101+BN101)</f>
        <v>71000</v>
      </c>
      <c r="BP101" s="172"/>
      <c r="BQ101" s="172"/>
      <c r="BR101" s="172"/>
      <c r="BS101" s="173"/>
      <c r="BT101" s="164">
        <f>SUM(100/BO121)*BO101</f>
        <v>0.2741683239047748</v>
      </c>
      <c r="BU101" s="165"/>
      <c r="BV101" s="166"/>
      <c r="BX101" s="106"/>
      <c r="BY101" s="108"/>
      <c r="BZ101" s="106"/>
      <c r="CA101" s="108"/>
      <c r="CB101" s="106"/>
      <c r="CC101" s="108"/>
      <c r="CD101" s="106"/>
      <c r="CE101" s="108"/>
      <c r="CF101" s="189">
        <f>SUM(BX101+BZ101+CB101+CD101)</f>
        <v>0</v>
      </c>
      <c r="CG101" s="190"/>
    </row>
    <row r="102" spans="2:85" ht="4.5" customHeight="1" x14ac:dyDescent="0.35">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30"/>
      <c r="BJ102" s="30"/>
      <c r="BK102" s="30"/>
      <c r="BL102" s="30"/>
      <c r="BM102" s="30"/>
      <c r="BN102" s="30"/>
      <c r="BO102" s="28"/>
      <c r="BP102" s="28"/>
      <c r="BQ102" s="28"/>
      <c r="BR102" s="28"/>
      <c r="BS102" s="28"/>
      <c r="BT102" s="42"/>
      <c r="BU102" s="44"/>
      <c r="BV102" s="44"/>
      <c r="BW102" s="9"/>
      <c r="BX102" s="8"/>
      <c r="BY102" s="8"/>
      <c r="BZ102" s="8"/>
      <c r="CA102" s="8"/>
      <c r="CB102" s="8"/>
      <c r="CC102" s="8"/>
      <c r="CD102" s="8"/>
      <c r="CE102" s="8"/>
      <c r="CF102" s="8"/>
      <c r="CG102" s="8"/>
    </row>
    <row r="103" spans="2:85" s="9" customFormat="1" ht="24" customHeight="1" x14ac:dyDescent="0.35">
      <c r="B103" s="194" t="s">
        <v>121</v>
      </c>
      <c r="C103" s="195"/>
      <c r="D103" s="195"/>
      <c r="E103" s="195"/>
      <c r="F103" s="196"/>
      <c r="G103" s="103" t="s">
        <v>103</v>
      </c>
      <c r="H103" s="104"/>
      <c r="I103" s="104"/>
      <c r="J103" s="104"/>
      <c r="K103" s="104"/>
      <c r="L103" s="104"/>
      <c r="M103" s="104"/>
      <c r="N103" s="104"/>
      <c r="O103" s="104"/>
      <c r="P103" s="104"/>
      <c r="Q103" s="104"/>
      <c r="R103" s="104"/>
      <c r="S103" s="104"/>
      <c r="T103" s="104"/>
      <c r="U103" s="104"/>
      <c r="V103" s="104"/>
      <c r="W103" s="104"/>
      <c r="X103" s="104"/>
      <c r="Y103" s="105"/>
      <c r="Z103" s="8"/>
      <c r="AA103" s="189">
        <f>SUM(AA98:AA101)</f>
        <v>0</v>
      </c>
      <c r="AB103" s="201"/>
      <c r="AC103" s="201"/>
      <c r="AD103" s="190"/>
      <c r="AE103" s="8"/>
      <c r="AF103" s="174">
        <f>MEDIAN(AF98:AF101)</f>
        <v>0</v>
      </c>
      <c r="AG103" s="175"/>
      <c r="AH103" s="176"/>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56">
        <f t="shared" ref="BI103:BN103" si="27">SUM(BI98:BI101)</f>
        <v>44000</v>
      </c>
      <c r="BJ103" s="56">
        <f t="shared" si="27"/>
        <v>11500</v>
      </c>
      <c r="BK103" s="56">
        <f t="shared" si="27"/>
        <v>0</v>
      </c>
      <c r="BL103" s="56">
        <f t="shared" si="27"/>
        <v>96000</v>
      </c>
      <c r="BM103" s="56">
        <f t="shared" si="27"/>
        <v>7000</v>
      </c>
      <c r="BN103" s="56">
        <f t="shared" si="27"/>
        <v>0</v>
      </c>
      <c r="BO103" s="171">
        <f>SUM(BI103+BJ103+BK103+BL103+BM103+BN103)</f>
        <v>158500</v>
      </c>
      <c r="BP103" s="172"/>
      <c r="BQ103" s="172"/>
      <c r="BR103" s="172"/>
      <c r="BS103" s="173"/>
      <c r="BT103" s="164">
        <f>SUM(100/BO121)*BO103</f>
        <v>0.6120518216747437</v>
      </c>
      <c r="BU103" s="165"/>
      <c r="BV103" s="166"/>
      <c r="BW103" s="8"/>
      <c r="BX103" s="174">
        <f>SUM(BX98:BX101)</f>
        <v>0</v>
      </c>
      <c r="BY103" s="176"/>
      <c r="BZ103" s="174">
        <f>SUM(BZ98:BZ101)</f>
        <v>0</v>
      </c>
      <c r="CA103" s="176"/>
      <c r="CB103" s="174">
        <f>SUM(CB98:CB101)</f>
        <v>0</v>
      </c>
      <c r="CC103" s="176"/>
      <c r="CD103" s="174">
        <f>SUM(CD98:CD101)</f>
        <v>0</v>
      </c>
      <c r="CE103" s="176"/>
      <c r="CF103" s="174">
        <f>SUM(CF98:CF101)</f>
        <v>0</v>
      </c>
      <c r="CG103" s="176"/>
    </row>
    <row r="104" spans="2:85" ht="4.5" customHeight="1" x14ac:dyDescent="0.35">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8"/>
      <c r="BY104" s="8"/>
      <c r="BZ104" s="8"/>
      <c r="CA104" s="8"/>
      <c r="CB104" s="8"/>
      <c r="CC104" s="8"/>
      <c r="CD104" s="8"/>
      <c r="CE104" s="8"/>
      <c r="CF104" s="8"/>
      <c r="CG104" s="8"/>
    </row>
    <row r="105" spans="2:85" ht="4.5" customHeight="1" x14ac:dyDescent="0.35">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8"/>
      <c r="BY105" s="8"/>
      <c r="BZ105" s="8"/>
      <c r="CA105" s="8"/>
      <c r="CB105" s="8"/>
      <c r="CC105" s="8"/>
      <c r="CD105" s="8"/>
      <c r="CE105" s="8"/>
      <c r="CF105" s="8"/>
      <c r="CG105" s="8"/>
    </row>
    <row r="106" spans="2:85" s="9" customFormat="1" ht="24" customHeight="1" x14ac:dyDescent="0.35">
      <c r="B106" s="194" t="s">
        <v>126</v>
      </c>
      <c r="C106" s="195"/>
      <c r="D106" s="195"/>
      <c r="E106" s="195"/>
      <c r="F106" s="196"/>
      <c r="G106" s="194" t="s">
        <v>207</v>
      </c>
      <c r="H106" s="195"/>
      <c r="I106" s="195"/>
      <c r="J106" s="195"/>
      <c r="K106" s="195"/>
      <c r="L106" s="195"/>
      <c r="M106" s="195"/>
      <c r="N106" s="195"/>
      <c r="O106" s="195"/>
      <c r="P106" s="195"/>
      <c r="Q106" s="195"/>
      <c r="R106" s="195"/>
      <c r="S106" s="195"/>
      <c r="T106" s="195"/>
      <c r="U106" s="195"/>
      <c r="V106" s="195"/>
      <c r="W106" s="195"/>
      <c r="X106" s="195"/>
      <c r="Y106" s="196"/>
      <c r="BI106" s="30"/>
      <c r="BJ106" s="30"/>
      <c r="BK106" s="30"/>
      <c r="BL106" s="30"/>
      <c r="BM106" s="30"/>
      <c r="BN106" s="30"/>
      <c r="BO106" s="28"/>
      <c r="BP106" s="28"/>
      <c r="BQ106" s="28"/>
      <c r="BR106" s="28"/>
      <c r="BS106" s="28"/>
      <c r="BT106" s="28"/>
      <c r="BU106" s="28"/>
      <c r="BV106" s="28"/>
      <c r="BX106" s="191"/>
      <c r="BY106" s="191"/>
      <c r="BZ106" s="191"/>
      <c r="CA106" s="191"/>
      <c r="CB106" s="191"/>
      <c r="CC106" s="191"/>
      <c r="CD106" s="191"/>
      <c r="CE106" s="191"/>
      <c r="CF106" s="191"/>
      <c r="CG106" s="191"/>
    </row>
    <row r="107" spans="2:85" s="9" customFormat="1" ht="24" customHeight="1" x14ac:dyDescent="0.35">
      <c r="B107" s="109" t="s">
        <v>127</v>
      </c>
      <c r="C107" s="110"/>
      <c r="D107" s="110"/>
      <c r="E107" s="110"/>
      <c r="F107" s="111"/>
      <c r="G107" s="234" t="s">
        <v>212</v>
      </c>
      <c r="H107" s="235"/>
      <c r="I107" s="235"/>
      <c r="J107" s="235"/>
      <c r="K107" s="235"/>
      <c r="L107" s="235"/>
      <c r="M107" s="235"/>
      <c r="N107" s="235"/>
      <c r="O107" s="235"/>
      <c r="P107" s="235"/>
      <c r="Q107" s="235"/>
      <c r="R107" s="235"/>
      <c r="S107" s="235"/>
      <c r="T107" s="235"/>
      <c r="U107" s="235"/>
      <c r="V107" s="235"/>
      <c r="W107" s="235"/>
      <c r="X107" s="235"/>
      <c r="Y107" s="236"/>
      <c r="AA107" s="106"/>
      <c r="AB107" s="107"/>
      <c r="AC107" s="107"/>
      <c r="AD107" s="108"/>
      <c r="AF107" s="118">
        <v>0</v>
      </c>
      <c r="AG107" s="119"/>
      <c r="AH107" s="120"/>
      <c r="AJ107" s="197"/>
      <c r="AK107" s="198"/>
      <c r="AL107" s="199"/>
      <c r="AM107" s="112"/>
      <c r="AN107" s="113"/>
      <c r="AO107" s="114"/>
      <c r="AP107" s="112"/>
      <c r="AQ107" s="113"/>
      <c r="AR107" s="114"/>
      <c r="AS107" s="112"/>
      <c r="AT107" s="113"/>
      <c r="AU107" s="114"/>
      <c r="AV107" s="112"/>
      <c r="AW107" s="113"/>
      <c r="AX107" s="114"/>
      <c r="BA107" s="34"/>
      <c r="BC107" s="34"/>
      <c r="BD107" s="25"/>
      <c r="BG107" s="35"/>
      <c r="BI107" s="32">
        <f>SUM(8*1000)</f>
        <v>8000</v>
      </c>
      <c r="BJ107" s="32">
        <f>SUM(7*500)</f>
        <v>3500</v>
      </c>
      <c r="BK107" s="30"/>
      <c r="BL107" s="30"/>
      <c r="BM107" s="30"/>
      <c r="BN107" s="30"/>
      <c r="BO107" s="171">
        <f>SUM(BI107+BJ107+BK107+BL107+BM107+BN107)</f>
        <v>11500</v>
      </c>
      <c r="BP107" s="172"/>
      <c r="BQ107" s="172"/>
      <c r="BR107" s="172"/>
      <c r="BS107" s="173"/>
      <c r="BT107" s="164">
        <f>SUM(100/BO121)*BO107</f>
        <v>4.4407545421195918E-2</v>
      </c>
      <c r="BU107" s="165"/>
      <c r="BV107" s="166"/>
      <c r="BX107" s="106"/>
      <c r="BY107" s="108"/>
      <c r="BZ107" s="106"/>
      <c r="CA107" s="108"/>
      <c r="CB107" s="106"/>
      <c r="CC107" s="108"/>
      <c r="CD107" s="106"/>
      <c r="CE107" s="108"/>
      <c r="CF107" s="189">
        <f>SUM(BX107+BZ107+CB107+CD107)</f>
        <v>0</v>
      </c>
      <c r="CG107" s="190"/>
    </row>
    <row r="108" spans="2:85" s="9" customFormat="1" ht="24" customHeight="1" x14ac:dyDescent="0.35">
      <c r="B108" s="109" t="s">
        <v>128</v>
      </c>
      <c r="C108" s="110"/>
      <c r="D108" s="110"/>
      <c r="E108" s="110"/>
      <c r="F108" s="111"/>
      <c r="G108" s="234" t="s">
        <v>203</v>
      </c>
      <c r="H108" s="235"/>
      <c r="I108" s="235"/>
      <c r="J108" s="235"/>
      <c r="K108" s="235"/>
      <c r="L108" s="235"/>
      <c r="M108" s="235"/>
      <c r="N108" s="235"/>
      <c r="O108" s="235"/>
      <c r="P108" s="235"/>
      <c r="Q108" s="235"/>
      <c r="R108" s="235"/>
      <c r="S108" s="235"/>
      <c r="T108" s="235"/>
      <c r="U108" s="235"/>
      <c r="V108" s="235"/>
      <c r="W108" s="235"/>
      <c r="X108" s="235"/>
      <c r="Y108" s="236"/>
      <c r="AA108" s="106"/>
      <c r="AB108" s="107"/>
      <c r="AC108" s="107"/>
      <c r="AD108" s="108"/>
      <c r="AF108" s="118"/>
      <c r="AG108" s="119"/>
      <c r="AH108" s="120"/>
      <c r="AJ108" s="197"/>
      <c r="AK108" s="198"/>
      <c r="AL108" s="199"/>
      <c r="AM108" s="112"/>
      <c r="AN108" s="113"/>
      <c r="AO108" s="114"/>
      <c r="AP108" s="112"/>
      <c r="AQ108" s="113"/>
      <c r="AR108" s="114"/>
      <c r="AS108" s="112"/>
      <c r="AT108" s="113"/>
      <c r="AU108" s="114"/>
      <c r="AV108" s="112"/>
      <c r="AW108" s="113"/>
      <c r="AX108" s="114"/>
      <c r="BA108" s="34"/>
      <c r="BC108" s="34"/>
      <c r="BD108" s="25"/>
      <c r="BG108" s="35"/>
      <c r="BI108" s="32">
        <f>SUM(8000+7*1000)</f>
        <v>15000</v>
      </c>
      <c r="BJ108" s="30"/>
      <c r="BK108" s="30"/>
      <c r="BL108" s="30"/>
      <c r="BM108" s="30"/>
      <c r="BN108" s="30"/>
      <c r="BO108" s="171">
        <f>SUM(BI108+BJ108+BK108+BL108+BM108+BN108)</f>
        <v>15000</v>
      </c>
      <c r="BP108" s="172"/>
      <c r="BQ108" s="172"/>
      <c r="BR108" s="172"/>
      <c r="BS108" s="173"/>
      <c r="BT108" s="164">
        <f>SUM(100/BO121)*BO108</f>
        <v>5.7922885331994675E-2</v>
      </c>
      <c r="BU108" s="165"/>
      <c r="BV108" s="166"/>
      <c r="BX108" s="106"/>
      <c r="BY108" s="108"/>
      <c r="BZ108" s="106"/>
      <c r="CA108" s="108"/>
      <c r="CB108" s="106"/>
      <c r="CC108" s="108"/>
      <c r="CD108" s="106"/>
      <c r="CE108" s="108"/>
      <c r="CF108" s="189">
        <f>SUM(BX108+BZ108+CB108+CD108)</f>
        <v>0</v>
      </c>
      <c r="CG108" s="190"/>
    </row>
    <row r="109" spans="2:85" s="9" customFormat="1" ht="24" customHeight="1" x14ac:dyDescent="0.35">
      <c r="B109" s="109" t="s">
        <v>129</v>
      </c>
      <c r="C109" s="110"/>
      <c r="D109" s="110"/>
      <c r="E109" s="110"/>
      <c r="F109" s="111"/>
      <c r="G109" s="234" t="s">
        <v>204</v>
      </c>
      <c r="H109" s="235"/>
      <c r="I109" s="235"/>
      <c r="J109" s="235"/>
      <c r="K109" s="235"/>
      <c r="L109" s="235"/>
      <c r="M109" s="235"/>
      <c r="N109" s="235"/>
      <c r="O109" s="235"/>
      <c r="P109" s="235"/>
      <c r="Q109" s="235"/>
      <c r="R109" s="235"/>
      <c r="S109" s="235"/>
      <c r="T109" s="235"/>
      <c r="U109" s="235"/>
      <c r="V109" s="235"/>
      <c r="W109" s="235"/>
      <c r="X109" s="235"/>
      <c r="Y109" s="236"/>
      <c r="AA109" s="106"/>
      <c r="AB109" s="107"/>
      <c r="AC109" s="107"/>
      <c r="AD109" s="108"/>
      <c r="AF109" s="118"/>
      <c r="AG109" s="119"/>
      <c r="AH109" s="120"/>
      <c r="AJ109" s="215"/>
      <c r="AK109" s="215"/>
      <c r="AL109" s="215"/>
      <c r="AM109" s="197"/>
      <c r="AN109" s="198"/>
      <c r="AO109" s="199"/>
      <c r="AP109" s="112"/>
      <c r="AQ109" s="113"/>
      <c r="AR109" s="114"/>
      <c r="AS109" s="112"/>
      <c r="AT109" s="113"/>
      <c r="AU109" s="114"/>
      <c r="AV109" s="112"/>
      <c r="AW109" s="113"/>
      <c r="AX109" s="114"/>
      <c r="BA109" s="34"/>
      <c r="BD109" s="25"/>
      <c r="BG109" s="35"/>
      <c r="BI109" s="32">
        <f>SUM(5000+8*1000)</f>
        <v>13000</v>
      </c>
      <c r="BJ109" s="30"/>
      <c r="BK109" s="30"/>
      <c r="BL109" s="32">
        <f xml:space="preserve"> SUM(8*2*3000)</f>
        <v>48000</v>
      </c>
      <c r="BM109" s="30"/>
      <c r="BN109" s="36"/>
      <c r="BO109" s="171">
        <f>SUM(BI109+BJ109+BK109+BL109+BM109+BN109)</f>
        <v>61000</v>
      </c>
      <c r="BP109" s="172"/>
      <c r="BQ109" s="172"/>
      <c r="BR109" s="172"/>
      <c r="BS109" s="173"/>
      <c r="BT109" s="164">
        <f>SUM(100/BO121)*BO109</f>
        <v>0.23555306701677836</v>
      </c>
      <c r="BU109" s="165"/>
      <c r="BV109" s="166"/>
      <c r="BX109" s="106"/>
      <c r="BY109" s="108"/>
      <c r="BZ109" s="106"/>
      <c r="CA109" s="108"/>
      <c r="CB109" s="106"/>
      <c r="CC109" s="108"/>
      <c r="CD109" s="106"/>
      <c r="CE109" s="108"/>
      <c r="CF109" s="189">
        <f>SUM(BX109+BZ109+CB109+CD109)</f>
        <v>0</v>
      </c>
      <c r="CG109" s="190"/>
    </row>
    <row r="110" spans="2:85" s="9" customFormat="1" ht="24" customHeight="1" x14ac:dyDescent="0.35">
      <c r="B110" s="109" t="s">
        <v>130</v>
      </c>
      <c r="C110" s="110"/>
      <c r="D110" s="110"/>
      <c r="E110" s="110"/>
      <c r="F110" s="111"/>
      <c r="G110" s="234" t="s">
        <v>205</v>
      </c>
      <c r="H110" s="235"/>
      <c r="I110" s="235"/>
      <c r="J110" s="235"/>
      <c r="K110" s="235"/>
      <c r="L110" s="235"/>
      <c r="M110" s="235"/>
      <c r="N110" s="235"/>
      <c r="O110" s="235"/>
      <c r="P110" s="235"/>
      <c r="Q110" s="235"/>
      <c r="R110" s="235"/>
      <c r="S110" s="235"/>
      <c r="T110" s="235"/>
      <c r="U110" s="235"/>
      <c r="V110" s="235"/>
      <c r="W110" s="235"/>
      <c r="X110" s="235"/>
      <c r="Y110" s="236"/>
      <c r="AA110" s="106"/>
      <c r="AB110" s="107"/>
      <c r="AC110" s="107"/>
      <c r="AD110" s="108"/>
      <c r="AF110" s="118"/>
      <c r="AG110" s="119"/>
      <c r="AH110" s="120"/>
      <c r="AJ110" s="215"/>
      <c r="AK110" s="215"/>
      <c r="AL110" s="215"/>
      <c r="AM110" s="215"/>
      <c r="AN110" s="215"/>
      <c r="AO110" s="215"/>
      <c r="AP110" s="197"/>
      <c r="AQ110" s="198"/>
      <c r="AR110" s="199"/>
      <c r="AS110" s="112"/>
      <c r="AT110" s="113"/>
      <c r="AU110" s="114"/>
      <c r="AV110" s="112"/>
      <c r="AW110" s="113"/>
      <c r="AX110" s="114"/>
      <c r="BA110" s="34"/>
      <c r="BD110" s="25"/>
      <c r="BE110" s="25"/>
      <c r="BF110" s="25"/>
      <c r="BG110" s="35"/>
      <c r="BI110" s="32">
        <f>SUM(8*1000)</f>
        <v>8000</v>
      </c>
      <c r="BJ110" s="32">
        <f>SUM(8*1000)</f>
        <v>8000</v>
      </c>
      <c r="BK110" s="30"/>
      <c r="BL110" s="32">
        <f xml:space="preserve"> SUM(8*2*3000)</f>
        <v>48000</v>
      </c>
      <c r="BM110" s="32">
        <f>SUM(7*1000)</f>
        <v>7000</v>
      </c>
      <c r="BN110" s="30"/>
      <c r="BO110" s="171">
        <f>SUM(BI110+BJ110+BK110+BL110+BM110+BN110)</f>
        <v>71000</v>
      </c>
      <c r="BP110" s="172"/>
      <c r="BQ110" s="172"/>
      <c r="BR110" s="172"/>
      <c r="BS110" s="173"/>
      <c r="BT110" s="164">
        <f>SUM(100/BO121)*BO110</f>
        <v>0.2741683239047748</v>
      </c>
      <c r="BU110" s="165"/>
      <c r="BV110" s="166"/>
      <c r="BX110" s="106"/>
      <c r="BY110" s="108"/>
      <c r="BZ110" s="106"/>
      <c r="CA110" s="108"/>
      <c r="CB110" s="106"/>
      <c r="CC110" s="108"/>
      <c r="CD110" s="106"/>
      <c r="CE110" s="108"/>
      <c r="CF110" s="189">
        <f>SUM(BX110+BZ110+CB110+CD110)</f>
        <v>0</v>
      </c>
      <c r="CG110" s="190"/>
    </row>
    <row r="111" spans="2:85" ht="4.5" customHeight="1" x14ac:dyDescent="0.35">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30"/>
      <c r="BJ111" s="30"/>
      <c r="BK111" s="30"/>
      <c r="BL111" s="30"/>
      <c r="BM111" s="30"/>
      <c r="BN111" s="30"/>
      <c r="BO111" s="28"/>
      <c r="BP111" s="28"/>
      <c r="BQ111" s="28"/>
      <c r="BR111" s="28"/>
      <c r="BS111" s="28"/>
      <c r="BT111" s="42"/>
      <c r="BU111" s="44"/>
      <c r="BV111" s="44"/>
      <c r="BW111" s="9"/>
      <c r="BX111" s="8"/>
      <c r="BY111" s="8"/>
      <c r="BZ111" s="8"/>
      <c r="CA111" s="8"/>
      <c r="CB111" s="8"/>
      <c r="CC111" s="8"/>
      <c r="CD111" s="8"/>
      <c r="CE111" s="8"/>
      <c r="CF111" s="8"/>
      <c r="CG111" s="8"/>
    </row>
    <row r="112" spans="2:85" s="9" customFormat="1" ht="24" customHeight="1" x14ac:dyDescent="0.35">
      <c r="B112" s="194" t="s">
        <v>126</v>
      </c>
      <c r="C112" s="195"/>
      <c r="D112" s="195"/>
      <c r="E112" s="195"/>
      <c r="F112" s="196"/>
      <c r="G112" s="103" t="s">
        <v>103</v>
      </c>
      <c r="H112" s="104"/>
      <c r="I112" s="104"/>
      <c r="J112" s="104"/>
      <c r="K112" s="104"/>
      <c r="L112" s="104"/>
      <c r="M112" s="104"/>
      <c r="N112" s="104"/>
      <c r="O112" s="104"/>
      <c r="P112" s="104"/>
      <c r="Q112" s="104"/>
      <c r="R112" s="104"/>
      <c r="S112" s="104"/>
      <c r="T112" s="104"/>
      <c r="U112" s="104"/>
      <c r="V112" s="104"/>
      <c r="W112" s="104"/>
      <c r="X112" s="104"/>
      <c r="Y112" s="105"/>
      <c r="Z112" s="8"/>
      <c r="AA112" s="189">
        <f>SUM(AA107:AA110)</f>
        <v>0</v>
      </c>
      <c r="AB112" s="201"/>
      <c r="AC112" s="201"/>
      <c r="AD112" s="190"/>
      <c r="AE112" s="8"/>
      <c r="AF112" s="174">
        <f>MEDIAN(AF107:AF110)</f>
        <v>0</v>
      </c>
      <c r="AG112" s="175"/>
      <c r="AH112" s="176"/>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56">
        <f t="shared" ref="BI112:BM112" si="28">SUM(BI107:BI110)</f>
        <v>44000</v>
      </c>
      <c r="BJ112" s="56">
        <f t="shared" si="28"/>
        <v>11500</v>
      </c>
      <c r="BK112" s="56">
        <f t="shared" si="28"/>
        <v>0</v>
      </c>
      <c r="BL112" s="56">
        <f t="shared" si="28"/>
        <v>96000</v>
      </c>
      <c r="BM112" s="56">
        <f t="shared" si="28"/>
        <v>7000</v>
      </c>
      <c r="BN112" s="56">
        <f>SUM(BN107:BN110)</f>
        <v>0</v>
      </c>
      <c r="BO112" s="171">
        <f>SUM(BI112+BJ112+BK112+BL112+BM112+BN112)</f>
        <v>158500</v>
      </c>
      <c r="BP112" s="172"/>
      <c r="BQ112" s="172"/>
      <c r="BR112" s="172"/>
      <c r="BS112" s="173"/>
      <c r="BT112" s="164">
        <f>SUM(100/BO121)*BO112</f>
        <v>0.6120518216747437</v>
      </c>
      <c r="BU112" s="165"/>
      <c r="BV112" s="166"/>
      <c r="BW112" s="8"/>
      <c r="BX112" s="174">
        <f>SUM(BX107:BX110)</f>
        <v>0</v>
      </c>
      <c r="BY112" s="176"/>
      <c r="BZ112" s="174">
        <f>SUM(BZ107:BZ110)</f>
        <v>0</v>
      </c>
      <c r="CA112" s="176"/>
      <c r="CB112" s="174">
        <f>SUM(CB107:CB110)</f>
        <v>0</v>
      </c>
      <c r="CC112" s="176"/>
      <c r="CD112" s="174">
        <f>SUM(CD107:CD110)</f>
        <v>0</v>
      </c>
      <c r="CE112" s="176"/>
      <c r="CF112" s="174">
        <f>SUM(CF107:CF110)</f>
        <v>0</v>
      </c>
      <c r="CG112" s="176"/>
    </row>
    <row r="113" spans="2:85" ht="4.5" customHeight="1" x14ac:dyDescent="0.35">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26"/>
      <c r="BJ113" s="26"/>
      <c r="BK113" s="26"/>
      <c r="BL113" s="26"/>
      <c r="BM113" s="26"/>
      <c r="BN113" s="26"/>
      <c r="BO113" s="28"/>
      <c r="BP113" s="28"/>
      <c r="BQ113" s="28"/>
      <c r="BR113" s="28"/>
      <c r="BS113" s="28"/>
      <c r="BT113" s="42"/>
      <c r="BU113" s="42"/>
      <c r="BV113" s="42"/>
      <c r="BW113" s="9"/>
      <c r="BX113" s="8"/>
      <c r="BY113" s="8"/>
      <c r="BZ113" s="8"/>
      <c r="CA113" s="8"/>
      <c r="CB113" s="8"/>
      <c r="CC113" s="8"/>
      <c r="CD113" s="8"/>
      <c r="CE113" s="8"/>
      <c r="CF113" s="8"/>
      <c r="CG113" s="8"/>
    </row>
    <row r="114" spans="2:85" ht="4.5" customHeight="1" x14ac:dyDescent="0.35">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26"/>
      <c r="BJ114" s="26"/>
      <c r="BK114" s="26"/>
      <c r="BL114" s="26"/>
      <c r="BM114" s="26"/>
      <c r="BN114" s="26"/>
      <c r="BO114" s="28"/>
      <c r="BP114" s="28"/>
      <c r="BQ114" s="28"/>
      <c r="BR114" s="28"/>
      <c r="BS114" s="28"/>
      <c r="BT114" s="42"/>
      <c r="BU114" s="42"/>
      <c r="BV114" s="42"/>
      <c r="BW114" s="9"/>
      <c r="BX114" s="8"/>
      <c r="BY114" s="8"/>
      <c r="BZ114" s="8"/>
      <c r="CA114" s="8"/>
      <c r="CB114" s="8"/>
      <c r="CC114" s="8"/>
      <c r="CD114" s="8"/>
      <c r="CE114" s="8"/>
      <c r="CF114" s="8"/>
      <c r="CG114" s="8"/>
    </row>
    <row r="115" spans="2:85" s="9" customFormat="1" ht="24" customHeight="1" x14ac:dyDescent="0.35">
      <c r="B115" s="103" t="s">
        <v>137</v>
      </c>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5"/>
      <c r="Z115" s="8"/>
      <c r="AA115" s="189">
        <f>SUM(AA34+AA56+AA64+AA79+AA89+AA103+AA112)</f>
        <v>0</v>
      </c>
      <c r="AB115" s="201"/>
      <c r="AC115" s="201"/>
      <c r="AD115" s="190"/>
      <c r="AE115" s="8"/>
      <c r="AF115" s="174">
        <f>MEDIAN(AF34,AF56,AF64,AF79,AF89,AF103,AF112)</f>
        <v>0</v>
      </c>
      <c r="AG115" s="175"/>
      <c r="AH115" s="176"/>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56">
        <f t="shared" ref="BI115:BN115" si="29">SUM(BI34+BI56+BI64+BI79+BI89+BI103+BI112)</f>
        <v>1913000</v>
      </c>
      <c r="BJ115" s="56">
        <f t="shared" si="29"/>
        <v>238500</v>
      </c>
      <c r="BK115" s="56">
        <f t="shared" si="29"/>
        <v>2179000</v>
      </c>
      <c r="BL115" s="56">
        <f t="shared" si="29"/>
        <v>1929000</v>
      </c>
      <c r="BM115" s="56">
        <f t="shared" si="29"/>
        <v>10726000</v>
      </c>
      <c r="BN115" s="56">
        <f t="shared" si="29"/>
        <v>1512000</v>
      </c>
      <c r="BO115" s="171">
        <f>SUM(BI115+BJ115+BK115+BL115+BM115+BN115)</f>
        <v>18497500</v>
      </c>
      <c r="BP115" s="172"/>
      <c r="BQ115" s="172"/>
      <c r="BR115" s="172"/>
      <c r="BS115" s="173"/>
      <c r="BT115" s="164">
        <f>SUM(100/BO121)*BO115</f>
        <v>71.428571428571431</v>
      </c>
      <c r="BU115" s="165"/>
      <c r="BV115" s="166"/>
      <c r="BW115" s="8"/>
      <c r="BX115" s="115">
        <f>SUM(BX34+BX56+BX64+BX79+BX89+BX103+BX112)</f>
        <v>0</v>
      </c>
      <c r="BY115" s="117"/>
      <c r="BZ115" s="115">
        <f>SUM(BZ34+BZ56+BZ64+BZ79+BZ89+BZ103+BZ112)</f>
        <v>0</v>
      </c>
      <c r="CA115" s="117"/>
      <c r="CB115" s="115">
        <f>SUM(CB34+CB56+CB64+CB79+CB89+CB103+CB112)</f>
        <v>0</v>
      </c>
      <c r="CC115" s="117"/>
      <c r="CD115" s="115">
        <f>SUM(CD34+CD56+CD64+CD79+CD89+CD103+CD112)</f>
        <v>0</v>
      </c>
      <c r="CE115" s="117"/>
      <c r="CF115" s="115">
        <f>SUM(CF34+CF56+CF64+CF79+CF89+CF103+CF112)</f>
        <v>0</v>
      </c>
      <c r="CG115" s="117"/>
    </row>
    <row r="116" spans="2:85" ht="4.5" customHeight="1" x14ac:dyDescent="0.35">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26"/>
      <c r="BJ116" s="26"/>
      <c r="BK116" s="26"/>
      <c r="BL116" s="26"/>
      <c r="BM116" s="26"/>
      <c r="BN116" s="26"/>
      <c r="BO116" s="28"/>
      <c r="BP116" s="28"/>
      <c r="BQ116" s="28"/>
      <c r="BR116" s="28"/>
      <c r="BS116" s="28"/>
      <c r="BT116" s="42"/>
      <c r="BU116" s="42"/>
      <c r="BV116" s="42"/>
      <c r="BW116" s="9"/>
      <c r="BX116" s="8"/>
      <c r="BY116" s="8"/>
      <c r="BZ116" s="8"/>
      <c r="CA116" s="8"/>
      <c r="CB116" s="8"/>
      <c r="CC116" s="8"/>
      <c r="CD116" s="8"/>
      <c r="CE116" s="8"/>
      <c r="CF116" s="8"/>
      <c r="CG116" s="8"/>
    </row>
    <row r="117" spans="2:85" s="9" customFormat="1" ht="24" customHeight="1" x14ac:dyDescent="0.35">
      <c r="B117" s="103" t="s">
        <v>208</v>
      </c>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5"/>
      <c r="Z117" s="8"/>
      <c r="AA117" s="215"/>
      <c r="AB117" s="215"/>
      <c r="AC117" s="215"/>
      <c r="AD117" s="215"/>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30"/>
      <c r="BJ117" s="30"/>
      <c r="BK117" s="30"/>
      <c r="BL117" s="30"/>
      <c r="BM117" s="30"/>
      <c r="BN117" s="40"/>
      <c r="BO117" s="172">
        <f>SUM(BO115/100)*10</f>
        <v>1849750</v>
      </c>
      <c r="BP117" s="172"/>
      <c r="BQ117" s="172"/>
      <c r="BR117" s="172"/>
      <c r="BS117" s="173"/>
      <c r="BT117" s="164">
        <f>SUM(100/BO121)*BO117</f>
        <v>7.1428571428571432</v>
      </c>
      <c r="BU117" s="165"/>
      <c r="BV117" s="166"/>
      <c r="BW117" s="8"/>
      <c r="BX117" s="214"/>
      <c r="BY117" s="214"/>
      <c r="BZ117" s="214"/>
      <c r="CA117" s="214"/>
      <c r="CB117" s="214"/>
      <c r="CC117" s="214"/>
      <c r="CD117" s="214"/>
      <c r="CE117" s="214"/>
      <c r="CF117" s="214"/>
      <c r="CG117" s="214"/>
    </row>
    <row r="118" spans="2:85" ht="4.5" customHeight="1" x14ac:dyDescent="0.35">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26"/>
      <c r="BJ118" s="26"/>
      <c r="BK118" s="26"/>
      <c r="BL118" s="26"/>
      <c r="BM118" s="26"/>
      <c r="BN118" s="26"/>
      <c r="BO118" s="57"/>
      <c r="BP118" s="57"/>
      <c r="BQ118" s="57"/>
      <c r="BR118" s="57"/>
      <c r="BS118" s="57"/>
      <c r="BT118" s="58"/>
      <c r="BU118" s="58"/>
      <c r="BV118" s="58"/>
      <c r="BW118" s="9"/>
      <c r="BX118" s="8"/>
      <c r="BY118" s="8"/>
      <c r="BZ118" s="8"/>
      <c r="CA118" s="8"/>
      <c r="CB118" s="8"/>
      <c r="CC118" s="8"/>
      <c r="CD118" s="8"/>
      <c r="CE118" s="8"/>
      <c r="CF118" s="8"/>
      <c r="CG118" s="8"/>
    </row>
    <row r="119" spans="2:85" s="9" customFormat="1" ht="24" customHeight="1" x14ac:dyDescent="0.35">
      <c r="B119" s="103" t="s">
        <v>209</v>
      </c>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5"/>
      <c r="Z119" s="8"/>
      <c r="AA119" s="215"/>
      <c r="AB119" s="215"/>
      <c r="AC119" s="215"/>
      <c r="AD119" s="215"/>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30"/>
      <c r="BJ119" s="30"/>
      <c r="BK119" s="30"/>
      <c r="BL119" s="30"/>
      <c r="BM119" s="30"/>
      <c r="BN119" s="40"/>
      <c r="BO119" s="172">
        <f>SUM(BO115/100)*30</f>
        <v>5549250</v>
      </c>
      <c r="BP119" s="172"/>
      <c r="BQ119" s="172"/>
      <c r="BR119" s="172"/>
      <c r="BS119" s="173"/>
      <c r="BT119" s="164">
        <f>SUM(100/BO121)*BO119</f>
        <v>21.428571428571431</v>
      </c>
      <c r="BU119" s="165"/>
      <c r="BV119" s="166"/>
      <c r="BW119" s="8"/>
      <c r="BX119" s="214"/>
      <c r="BY119" s="214"/>
      <c r="BZ119" s="214"/>
      <c r="CA119" s="214"/>
      <c r="CB119" s="214"/>
      <c r="CC119" s="214"/>
      <c r="CD119" s="214"/>
      <c r="CE119" s="214"/>
      <c r="CF119" s="214"/>
      <c r="CG119" s="214"/>
    </row>
    <row r="120" spans="2:85" ht="4.5" customHeight="1" x14ac:dyDescent="0.35">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26"/>
      <c r="BJ120" s="26"/>
      <c r="BK120" s="26"/>
      <c r="BL120" s="26"/>
      <c r="BM120" s="26"/>
      <c r="BN120" s="26"/>
      <c r="BO120" s="57"/>
      <c r="BP120" s="57"/>
      <c r="BQ120" s="57"/>
      <c r="BR120" s="57"/>
      <c r="BS120" s="57"/>
      <c r="BT120" s="58"/>
      <c r="BU120" s="58"/>
      <c r="BV120" s="58"/>
      <c r="BW120" s="9"/>
      <c r="BX120" s="8"/>
      <c r="BY120" s="8"/>
      <c r="BZ120" s="8"/>
      <c r="CA120" s="8"/>
      <c r="CB120" s="8"/>
      <c r="CC120" s="8"/>
      <c r="CD120" s="8"/>
      <c r="CE120" s="8"/>
      <c r="CF120" s="8"/>
      <c r="CG120" s="8"/>
    </row>
    <row r="121" spans="2:85" s="9" customFormat="1" ht="24" customHeight="1" x14ac:dyDescent="0.35">
      <c r="B121" s="103" t="s">
        <v>145</v>
      </c>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5"/>
      <c r="Z121" s="8"/>
      <c r="AA121" s="215"/>
      <c r="AB121" s="215"/>
      <c r="AC121" s="215"/>
      <c r="AD121" s="215"/>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30"/>
      <c r="BJ121" s="30"/>
      <c r="BK121" s="30"/>
      <c r="BL121" s="30"/>
      <c r="BM121" s="30"/>
      <c r="BN121" s="40"/>
      <c r="BO121" s="172">
        <f>SUM(BO115+BO117+BO119)</f>
        <v>25896500</v>
      </c>
      <c r="BP121" s="172"/>
      <c r="BQ121" s="172"/>
      <c r="BR121" s="172"/>
      <c r="BS121" s="173"/>
      <c r="BT121" s="171">
        <f>SUM(BT115+BT117+BT119)</f>
        <v>100</v>
      </c>
      <c r="BU121" s="172"/>
      <c r="BV121" s="173"/>
      <c r="BW121" s="8"/>
      <c r="BX121" s="214"/>
      <c r="BY121" s="214"/>
      <c r="BZ121" s="214"/>
      <c r="CA121" s="214"/>
      <c r="CB121" s="214"/>
      <c r="CC121" s="214"/>
      <c r="CD121" s="214"/>
      <c r="CE121" s="214"/>
      <c r="CF121" s="214"/>
      <c r="CG121" s="214"/>
    </row>
    <row r="122" spans="2:85" ht="9.5" customHeight="1" x14ac:dyDescent="0.35">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8"/>
      <c r="BY122" s="8"/>
      <c r="BZ122" s="8"/>
      <c r="CA122" s="8"/>
      <c r="CB122" s="8"/>
      <c r="CC122" s="8"/>
      <c r="CD122" s="8"/>
      <c r="CE122" s="8"/>
      <c r="CF122" s="8"/>
      <c r="CG122" s="8"/>
    </row>
    <row r="123" spans="2:85" s="9" customFormat="1" ht="24" customHeight="1" x14ac:dyDescent="0.35">
      <c r="B123" s="103" t="s">
        <v>140</v>
      </c>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5"/>
      <c r="Z123" s="8"/>
      <c r="AA123" s="215"/>
      <c r="AB123" s="215"/>
      <c r="AC123" s="215"/>
      <c r="AD123" s="215"/>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65">
        <f>SUM(100/BO115)*BI115</f>
        <v>10.341938099743208</v>
      </c>
      <c r="BJ123" s="66">
        <f>SUM(100/BO115)*BJ115</f>
        <v>1.2893634274902015</v>
      </c>
      <c r="BK123" s="66">
        <f>SUM(100/BO115)*BK115</f>
        <v>11.779970266252196</v>
      </c>
      <c r="BL123" s="66">
        <f>SUM(100/BO115)*BL115</f>
        <v>10.42843627517232</v>
      </c>
      <c r="BM123" s="66">
        <f>SUM(100/BO115)*BM115</f>
        <v>57.98621435329099</v>
      </c>
      <c r="BN123" s="66">
        <f>SUM(100/BO115)*BN115</f>
        <v>8.1740775780510884</v>
      </c>
      <c r="BO123" s="171"/>
      <c r="BP123" s="172"/>
      <c r="BQ123" s="172"/>
      <c r="BR123" s="172"/>
      <c r="BS123" s="173"/>
      <c r="BT123" s="171">
        <f>SUM(BI123+BJ123+BK123+BL123+BM123+BN123)</f>
        <v>100</v>
      </c>
      <c r="BU123" s="172"/>
      <c r="BV123" s="173"/>
      <c r="BW123" s="8"/>
      <c r="BX123" s="214"/>
      <c r="BY123" s="214"/>
      <c r="BZ123" s="214"/>
      <c r="CA123" s="214"/>
      <c r="CB123" s="214"/>
      <c r="CC123" s="214"/>
      <c r="CD123" s="214"/>
      <c r="CE123" s="214"/>
      <c r="CF123" s="214"/>
      <c r="CG123" s="214"/>
    </row>
    <row r="124" spans="2:85" ht="9.5" customHeight="1" x14ac:dyDescent="0.35">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8"/>
      <c r="BY124" s="8"/>
      <c r="BZ124" s="8"/>
      <c r="CA124" s="8"/>
      <c r="CB124" s="8"/>
      <c r="CC124" s="8"/>
      <c r="CD124" s="8"/>
      <c r="CE124" s="8"/>
      <c r="CF124" s="8"/>
      <c r="CG124" s="8"/>
    </row>
    <row r="125" spans="2:85" ht="9.5" customHeight="1" x14ac:dyDescent="0.35">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8"/>
      <c r="BY125" s="8"/>
      <c r="BZ125" s="8"/>
      <c r="CA125" s="8"/>
      <c r="CB125" s="8"/>
      <c r="CC125" s="8"/>
      <c r="CD125" s="8"/>
      <c r="CE125" s="8"/>
      <c r="CF125" s="8"/>
      <c r="CG125" s="8"/>
    </row>
    <row r="126" spans="2:85" ht="24.5" customHeight="1" x14ac:dyDescent="0.35">
      <c r="B126" s="115" t="s">
        <v>62</v>
      </c>
      <c r="C126" s="116"/>
      <c r="D126" s="116"/>
      <c r="E126" s="117"/>
      <c r="F126" s="29"/>
      <c r="G126" s="115" t="s">
        <v>63</v>
      </c>
      <c r="H126" s="116"/>
      <c r="I126" s="116"/>
      <c r="J126" s="116"/>
      <c r="K126" s="116"/>
      <c r="L126" s="116"/>
      <c r="M126" s="116"/>
      <c r="N126" s="117"/>
      <c r="O126" s="253"/>
      <c r="P126" s="254"/>
      <c r="Q126" s="254"/>
      <c r="R126" s="254"/>
      <c r="S126" s="254"/>
      <c r="T126" s="254"/>
      <c r="U126" s="254"/>
      <c r="V126" s="29"/>
      <c r="W126" s="29"/>
      <c r="X126" s="115" t="s">
        <v>131</v>
      </c>
      <c r="Y126" s="116"/>
      <c r="Z126" s="116"/>
      <c r="AA126" s="116"/>
      <c r="AB126" s="116"/>
      <c r="AC126" s="116"/>
      <c r="AD126" s="116"/>
      <c r="AE126" s="116"/>
      <c r="AF126" s="117"/>
      <c r="AG126" s="255"/>
      <c r="AH126" s="256"/>
      <c r="AI126" s="256"/>
      <c r="AJ126" s="256"/>
      <c r="AK126" s="256"/>
      <c r="AL126" s="257"/>
      <c r="AM126" s="29"/>
      <c r="AN126" s="115" t="s">
        <v>136</v>
      </c>
      <c r="AO126" s="116"/>
      <c r="AP126" s="116"/>
      <c r="AQ126" s="116"/>
      <c r="AR126" s="116"/>
      <c r="AS126" s="116"/>
      <c r="AT126" s="116"/>
      <c r="AU126" s="117"/>
      <c r="AV126" s="250"/>
      <c r="AW126" s="251"/>
      <c r="AX126" s="251"/>
      <c r="AY126" s="251"/>
      <c r="AZ126" s="252"/>
      <c r="BA126" s="29"/>
      <c r="BB126" s="21" t="s">
        <v>180</v>
      </c>
      <c r="BC126" s="46"/>
      <c r="BD126" s="47"/>
      <c r="BE126" s="247" t="s">
        <v>57</v>
      </c>
      <c r="BF126" s="248"/>
      <c r="BG126" s="24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row>
    <row r="127" spans="2:85" ht="4.5" customHeight="1" x14ac:dyDescent="0.35">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8"/>
      <c r="BY127" s="8"/>
      <c r="BZ127" s="8"/>
      <c r="CA127" s="8"/>
      <c r="CB127" s="8"/>
      <c r="CC127" s="8"/>
      <c r="CD127" s="8"/>
      <c r="CE127" s="8"/>
      <c r="CF127" s="8"/>
      <c r="CG127" s="8"/>
    </row>
    <row r="128" spans="2:85" ht="38" customHeight="1" x14ac:dyDescent="0.35">
      <c r="B128" s="216" t="s">
        <v>160</v>
      </c>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7"/>
      <c r="Z128" s="217"/>
      <c r="AA128" s="217"/>
      <c r="AB128" s="217"/>
      <c r="AC128" s="217"/>
      <c r="AD128" s="217"/>
      <c r="AE128" s="217"/>
      <c r="AF128" s="217"/>
      <c r="AG128" s="217"/>
      <c r="AH128" s="217"/>
      <c r="AI128" s="217"/>
      <c r="AJ128" s="217"/>
      <c r="AK128" s="217"/>
      <c r="AL128" s="217"/>
      <c r="AM128" s="217"/>
      <c r="AN128" s="217"/>
      <c r="AO128" s="217"/>
      <c r="AP128" s="217"/>
      <c r="AQ128" s="217"/>
      <c r="AR128" s="217"/>
      <c r="AS128" s="217"/>
      <c r="AT128" s="217"/>
      <c r="AU128" s="217"/>
      <c r="AV128" s="217"/>
      <c r="AW128" s="217"/>
      <c r="AX128" s="217"/>
      <c r="AY128" s="217"/>
      <c r="AZ128" s="217"/>
      <c r="BA128" s="217"/>
      <c r="BB128" s="217"/>
      <c r="BC128" s="217"/>
      <c r="BD128" s="217"/>
      <c r="BE128" s="217"/>
      <c r="BF128" s="217"/>
      <c r="BG128" s="217"/>
      <c r="BH128" s="217"/>
      <c r="BI128" s="217"/>
      <c r="BJ128" s="217"/>
      <c r="BK128" s="217"/>
      <c r="BL128" s="217"/>
      <c r="BM128" s="217"/>
      <c r="BN128" s="217"/>
      <c r="BO128" s="217"/>
      <c r="BP128" s="217"/>
      <c r="BQ128" s="217"/>
      <c r="BR128" s="217"/>
      <c r="BS128" s="217"/>
      <c r="BT128" s="217"/>
      <c r="BU128" s="217"/>
      <c r="BV128" s="217"/>
      <c r="BW128" s="217"/>
      <c r="BX128" s="217"/>
      <c r="BY128" s="217"/>
      <c r="BZ128" s="217"/>
      <c r="CA128" s="217"/>
      <c r="CB128" s="217"/>
      <c r="CC128" s="217"/>
      <c r="CD128" s="217"/>
      <c r="CE128" s="217"/>
      <c r="CF128" s="217"/>
      <c r="CG128" s="218"/>
    </row>
    <row r="129" spans="2:85" ht="6" customHeight="1" x14ac:dyDescent="0.35">
      <c r="B129" s="29"/>
      <c r="C129" s="29"/>
      <c r="D129" s="2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8"/>
      <c r="BY129" s="8"/>
      <c r="BZ129" s="8"/>
      <c r="CA129" s="8"/>
      <c r="CB129" s="8"/>
      <c r="CC129" s="8"/>
      <c r="CD129" s="8"/>
      <c r="CE129" s="8"/>
      <c r="CF129" s="8"/>
      <c r="CG129" s="8"/>
    </row>
    <row r="130" spans="2:85" ht="42" customHeight="1" x14ac:dyDescent="0.35">
      <c r="B130" s="241" t="s">
        <v>132</v>
      </c>
      <c r="C130" s="242"/>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2"/>
      <c r="AP130" s="242"/>
      <c r="AQ130" s="242"/>
      <c r="AR130" s="242"/>
      <c r="AS130" s="242"/>
      <c r="AT130" s="242"/>
      <c r="AU130" s="242"/>
      <c r="AV130" s="242"/>
      <c r="AW130" s="242"/>
      <c r="AX130" s="242"/>
      <c r="AY130" s="242"/>
      <c r="AZ130" s="242"/>
      <c r="BA130" s="242"/>
      <c r="BB130" s="242"/>
      <c r="BC130" s="242"/>
      <c r="BD130" s="242"/>
      <c r="BE130" s="242"/>
      <c r="BF130" s="242"/>
      <c r="BG130" s="242"/>
      <c r="BH130" s="242"/>
      <c r="BI130" s="242"/>
      <c r="BJ130" s="242"/>
      <c r="BK130" s="242"/>
      <c r="BL130" s="242"/>
      <c r="BM130" s="242"/>
      <c r="BN130" s="242"/>
      <c r="BO130" s="242"/>
      <c r="BP130" s="242"/>
      <c r="BQ130" s="242"/>
      <c r="BR130" s="242"/>
      <c r="BS130" s="242"/>
      <c r="BT130" s="242"/>
      <c r="BU130" s="242"/>
      <c r="BV130" s="242"/>
      <c r="BW130" s="242"/>
      <c r="BX130" s="242"/>
      <c r="BY130" s="242"/>
      <c r="BZ130" s="242"/>
      <c r="CA130" s="242"/>
      <c r="CB130" s="242"/>
      <c r="CC130" s="242"/>
      <c r="CD130" s="242"/>
      <c r="CE130" s="242"/>
      <c r="CF130" s="242"/>
      <c r="CG130" s="243"/>
    </row>
    <row r="131" spans="2:85" ht="4.5" customHeight="1" x14ac:dyDescent="0.35">
      <c r="B131" s="240"/>
      <c r="C131" s="240"/>
      <c r="D131" s="240"/>
      <c r="E131" s="240"/>
      <c r="F131" s="240"/>
      <c r="G131" s="240"/>
      <c r="H131" s="240"/>
      <c r="I131" s="240"/>
      <c r="J131" s="240"/>
      <c r="K131" s="240"/>
      <c r="L131" s="240"/>
      <c r="M131" s="240"/>
      <c r="N131" s="240"/>
      <c r="O131" s="240"/>
      <c r="P131" s="240"/>
      <c r="Q131" s="240"/>
      <c r="R131" s="240"/>
      <c r="S131" s="240"/>
      <c r="T131" s="240"/>
      <c r="U131" s="240"/>
      <c r="V131" s="240"/>
      <c r="W131" s="240"/>
      <c r="X131" s="240"/>
      <c r="Y131" s="240"/>
      <c r="Z131" s="240"/>
      <c r="AA131" s="240"/>
      <c r="AB131" s="240"/>
      <c r="AC131" s="240"/>
      <c r="AD131" s="240"/>
      <c r="AE131" s="240"/>
      <c r="AF131" s="240"/>
      <c r="AG131" s="240"/>
      <c r="AH131" s="240"/>
      <c r="AI131" s="240"/>
      <c r="AJ131" s="240"/>
      <c r="AK131" s="240"/>
      <c r="AL131" s="240"/>
      <c r="AM131" s="240"/>
      <c r="AN131" s="240"/>
      <c r="AO131" s="240"/>
      <c r="AP131" s="240"/>
      <c r="AQ131" s="240"/>
      <c r="AR131" s="240"/>
      <c r="AS131" s="240"/>
      <c r="AT131" s="240"/>
      <c r="AU131" s="240"/>
      <c r="AV131" s="240"/>
      <c r="AW131" s="240"/>
      <c r="AX131" s="240"/>
      <c r="AY131" s="240"/>
      <c r="AZ131" s="240"/>
      <c r="BA131" s="240"/>
      <c r="BB131" s="240"/>
      <c r="BC131" s="240"/>
      <c r="BD131" s="240"/>
      <c r="BE131" s="240"/>
      <c r="BF131" s="240"/>
      <c r="BG131" s="240"/>
      <c r="BH131" s="240"/>
      <c r="BI131" s="240"/>
      <c r="BJ131" s="240"/>
      <c r="BK131" s="240"/>
      <c r="BL131" s="240"/>
      <c r="BM131" s="240"/>
      <c r="BN131" s="240"/>
      <c r="BO131" s="240"/>
      <c r="BP131" s="240"/>
      <c r="BQ131" s="240"/>
      <c r="BR131" s="240"/>
      <c r="BS131" s="240"/>
      <c r="BT131" s="240"/>
      <c r="BU131" s="240"/>
      <c r="BV131" s="240"/>
      <c r="BW131" s="240"/>
      <c r="BX131" s="240"/>
      <c r="BY131" s="240"/>
      <c r="BZ131" s="240"/>
      <c r="CA131" s="240"/>
      <c r="CB131" s="240"/>
      <c r="CC131" s="240"/>
      <c r="CD131" s="240"/>
      <c r="CE131" s="240"/>
      <c r="CF131" s="240"/>
      <c r="CG131" s="240"/>
    </row>
    <row r="132" spans="2:85" ht="31.5" customHeight="1" x14ac:dyDescent="0.35">
      <c r="B132" s="237" t="s">
        <v>65</v>
      </c>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c r="AE132" s="238"/>
      <c r="AF132" s="238"/>
      <c r="AG132" s="238"/>
      <c r="AH132" s="238"/>
      <c r="AI132" s="238"/>
      <c r="AJ132" s="238"/>
      <c r="AK132" s="238"/>
      <c r="AL132" s="238"/>
      <c r="AM132" s="238"/>
      <c r="AN132" s="238"/>
      <c r="AO132" s="238"/>
      <c r="AP132" s="238"/>
      <c r="AQ132" s="238"/>
      <c r="AR132" s="238"/>
      <c r="AS132" s="238"/>
      <c r="AT132" s="238"/>
      <c r="AU132" s="238"/>
      <c r="AV132" s="238"/>
      <c r="AW132" s="238"/>
      <c r="AX132" s="238"/>
      <c r="AY132" s="238"/>
      <c r="AZ132" s="238"/>
      <c r="BA132" s="238"/>
      <c r="BB132" s="238"/>
      <c r="BC132" s="238"/>
      <c r="BD132" s="238"/>
      <c r="BE132" s="238"/>
      <c r="BF132" s="238"/>
      <c r="BG132" s="238"/>
      <c r="BH132" s="238"/>
      <c r="BI132" s="238"/>
      <c r="BJ132" s="238"/>
      <c r="BK132" s="238"/>
      <c r="BL132" s="238"/>
      <c r="BM132" s="238"/>
      <c r="BN132" s="238"/>
      <c r="BO132" s="238"/>
      <c r="BP132" s="238"/>
      <c r="BQ132" s="238"/>
      <c r="BR132" s="238"/>
      <c r="BS132" s="238"/>
      <c r="BT132" s="238"/>
      <c r="BU132" s="238"/>
      <c r="BV132" s="238"/>
      <c r="BW132" s="238"/>
      <c r="BX132" s="238"/>
      <c r="BY132" s="238"/>
      <c r="BZ132" s="238"/>
      <c r="CA132" s="238"/>
      <c r="CB132" s="238"/>
      <c r="CC132" s="238"/>
      <c r="CD132" s="238"/>
      <c r="CE132" s="238"/>
      <c r="CF132" s="238"/>
      <c r="CG132" s="239"/>
    </row>
    <row r="133" spans="2:85" ht="5" customHeight="1" x14ac:dyDescent="0.35"/>
    <row r="134" spans="2:85" ht="38.5" customHeight="1" x14ac:dyDescent="0.35">
      <c r="B134" s="244" t="s">
        <v>133</v>
      </c>
      <c r="C134" s="245"/>
      <c r="D134" s="245"/>
      <c r="E134" s="245"/>
      <c r="F134" s="245"/>
      <c r="G134" s="245"/>
      <c r="H134" s="245"/>
      <c r="I134" s="245"/>
      <c r="J134" s="245"/>
      <c r="K134" s="245"/>
      <c r="L134" s="245"/>
      <c r="M134" s="245"/>
      <c r="N134" s="245"/>
      <c r="O134" s="245"/>
      <c r="P134" s="245"/>
      <c r="Q134" s="245"/>
      <c r="R134" s="245"/>
      <c r="S134" s="245"/>
      <c r="T134" s="245"/>
      <c r="U134" s="245"/>
      <c r="V134" s="245"/>
      <c r="W134" s="245"/>
      <c r="X134" s="245"/>
      <c r="Y134" s="245"/>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c r="AT134" s="245"/>
      <c r="AU134" s="245"/>
      <c r="AV134" s="245"/>
      <c r="AW134" s="245"/>
      <c r="AX134" s="245"/>
      <c r="AY134" s="245"/>
      <c r="AZ134" s="245"/>
      <c r="BA134" s="245"/>
      <c r="BB134" s="245"/>
      <c r="BC134" s="245"/>
      <c r="BD134" s="245"/>
      <c r="BE134" s="245"/>
      <c r="BF134" s="245"/>
      <c r="BG134" s="245"/>
      <c r="BH134" s="245"/>
      <c r="BI134" s="245"/>
      <c r="BJ134" s="245"/>
      <c r="BK134" s="245"/>
      <c r="BL134" s="245"/>
      <c r="BM134" s="245"/>
      <c r="BN134" s="245"/>
      <c r="BO134" s="245"/>
      <c r="BP134" s="245"/>
      <c r="BQ134" s="245"/>
      <c r="BR134" s="245"/>
      <c r="BS134" s="245"/>
      <c r="BT134" s="245"/>
      <c r="BU134" s="245"/>
      <c r="BV134" s="245"/>
      <c r="BW134" s="245"/>
      <c r="BX134" s="245"/>
      <c r="BY134" s="245"/>
      <c r="BZ134" s="245"/>
      <c r="CA134" s="245"/>
      <c r="CB134" s="245"/>
      <c r="CC134" s="245"/>
      <c r="CD134" s="245"/>
      <c r="CE134" s="245"/>
      <c r="CF134" s="245"/>
      <c r="CG134" s="246"/>
    </row>
    <row r="135" spans="2:85" ht="14.5" customHeight="1" x14ac:dyDescent="0.35"/>
    <row r="136" spans="2:85" ht="14.5" customHeight="1" x14ac:dyDescent="0.35"/>
    <row r="137" spans="2:85" ht="14.5" customHeight="1" x14ac:dyDescent="0.35">
      <c r="B137" s="260">
        <f>SUM(21+12+3+5+5+4+4)</f>
        <v>54</v>
      </c>
      <c r="C137" s="260"/>
    </row>
    <row r="138" spans="2:85" ht="14.5" customHeight="1" x14ac:dyDescent="0.35"/>
    <row r="139" spans="2:85" ht="14.5" customHeight="1" x14ac:dyDescent="0.35"/>
    <row r="140" spans="2:85" ht="14.5" customHeight="1" x14ac:dyDescent="0.35"/>
    <row r="141" spans="2:85" ht="14.5" customHeight="1" x14ac:dyDescent="0.35"/>
    <row r="142" spans="2:85" ht="14.5" customHeight="1" x14ac:dyDescent="0.35"/>
    <row r="143" spans="2:85" ht="14.5" customHeight="1" x14ac:dyDescent="0.35"/>
    <row r="144" spans="2:85"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sheetData>
  <sheetProtection sheet="1" objects="1" scenarios="1"/>
  <mergeCells count="1190">
    <mergeCell ref="B137:C137"/>
    <mergeCell ref="BX32:BY32"/>
    <mergeCell ref="BZ32:CA32"/>
    <mergeCell ref="CB32:CC32"/>
    <mergeCell ref="CD32:CE32"/>
    <mergeCell ref="CF32:CG32"/>
    <mergeCell ref="B31:F31"/>
    <mergeCell ref="G31:Y31"/>
    <mergeCell ref="AA31:AD31"/>
    <mergeCell ref="AF31:AH31"/>
    <mergeCell ref="AJ31:AL31"/>
    <mergeCell ref="AM31:AO31"/>
    <mergeCell ref="AP31:AR31"/>
    <mergeCell ref="AS31:AU31"/>
    <mergeCell ref="AV31:AX31"/>
    <mergeCell ref="BO31:BS31"/>
    <mergeCell ref="BT31:BV31"/>
    <mergeCell ref="BX31:BY31"/>
    <mergeCell ref="BZ31:CA31"/>
    <mergeCell ref="CB31:CC31"/>
    <mergeCell ref="CD31:CE31"/>
    <mergeCell ref="CF31:CG31"/>
    <mergeCell ref="B123:Y123"/>
    <mergeCell ref="AA121:AD121"/>
    <mergeCell ref="BO121:BS121"/>
    <mergeCell ref="BT121:BV121"/>
    <mergeCell ref="AM86:AO86"/>
    <mergeCell ref="AP87:AR87"/>
    <mergeCell ref="AS87:AU87"/>
    <mergeCell ref="G75:Y75"/>
    <mergeCell ref="G76:Y76"/>
    <mergeCell ref="G103:Y103"/>
    <mergeCell ref="B126:E126"/>
    <mergeCell ref="G126:N126"/>
    <mergeCell ref="O126:U126"/>
    <mergeCell ref="X126:AF126"/>
    <mergeCell ref="AG126:AL126"/>
    <mergeCell ref="AJ75:AL75"/>
    <mergeCell ref="AJ76:AL76"/>
    <mergeCell ref="AJ101:AL101"/>
    <mergeCell ref="AA87:AD87"/>
    <mergeCell ref="AA74:AD74"/>
    <mergeCell ref="AF27:AH27"/>
    <mergeCell ref="AA77:AD77"/>
    <mergeCell ref="AJ8:AX8"/>
    <mergeCell ref="AJ12:AL12"/>
    <mergeCell ref="AM12:AO12"/>
    <mergeCell ref="AP12:AR12"/>
    <mergeCell ref="AJ28:AL28"/>
    <mergeCell ref="AM28:AO28"/>
    <mergeCell ref="AP28:AR28"/>
    <mergeCell ref="G62:Y62"/>
    <mergeCell ref="G73:Y73"/>
    <mergeCell ref="G74:Y74"/>
    <mergeCell ref="G22:Y22"/>
    <mergeCell ref="G23:Y23"/>
    <mergeCell ref="G24:Y24"/>
    <mergeCell ref="G25:Y25"/>
    <mergeCell ref="G26:Y26"/>
    <mergeCell ref="G27:Y27"/>
    <mergeCell ref="G28:Y28"/>
    <mergeCell ref="G29:Y29"/>
    <mergeCell ref="G43:Y43"/>
    <mergeCell ref="G44:Y44"/>
    <mergeCell ref="AM13:AO13"/>
    <mergeCell ref="AA47:AD47"/>
    <mergeCell ref="AF50:AH50"/>
    <mergeCell ref="AP13:AR13"/>
    <mergeCell ref="AS13:AU13"/>
    <mergeCell ref="AM15:AO15"/>
    <mergeCell ref="AP15:AR15"/>
    <mergeCell ref="AS15:AU15"/>
    <mergeCell ref="AV87:AX87"/>
    <mergeCell ref="AJ98:AL98"/>
    <mergeCell ref="AM98:AO98"/>
    <mergeCell ref="B6:F9"/>
    <mergeCell ref="B25:F25"/>
    <mergeCell ref="B79:F79"/>
    <mergeCell ref="B20:F20"/>
    <mergeCell ref="B108:F108"/>
    <mergeCell ref="B103:F103"/>
    <mergeCell ref="B106:F106"/>
    <mergeCell ref="AF101:AH101"/>
    <mergeCell ref="AF51:AH51"/>
    <mergeCell ref="AF52:AH52"/>
    <mergeCell ref="G77:Y77"/>
    <mergeCell ref="G83:Y83"/>
    <mergeCell ref="G84:Y84"/>
    <mergeCell ref="G85:Y85"/>
    <mergeCell ref="G86:Y86"/>
    <mergeCell ref="G87:Y87"/>
    <mergeCell ref="G98:Y98"/>
    <mergeCell ref="G45:Y45"/>
    <mergeCell ref="G46:Y46"/>
    <mergeCell ref="G47:Y47"/>
    <mergeCell ref="G48:Y48"/>
    <mergeCell ref="AM23:AO23"/>
    <mergeCell ref="AM19:AO19"/>
    <mergeCell ref="AM20:AO20"/>
    <mergeCell ref="AM14:AO14"/>
    <mergeCell ref="AA20:AD20"/>
    <mergeCell ref="AJ20:AL20"/>
    <mergeCell ref="AJ73:AL73"/>
    <mergeCell ref="AA44:AD44"/>
    <mergeCell ref="AJ44:AL44"/>
    <mergeCell ref="AJ46:AL46"/>
    <mergeCell ref="AJ50:AL50"/>
    <mergeCell ref="AA49:AD49"/>
    <mergeCell ref="AA50:AD50"/>
    <mergeCell ref="AA51:AD51"/>
    <mergeCell ref="AF49:AH49"/>
    <mergeCell ref="AJ84:AL84"/>
    <mergeCell ref="AJ48:AL48"/>
    <mergeCell ref="AJ83:AL83"/>
    <mergeCell ref="AM73:AO73"/>
    <mergeCell ref="AA46:AD46"/>
    <mergeCell ref="G6:Y9"/>
    <mergeCell ref="AF18:AH18"/>
    <mergeCell ref="AF12:AH12"/>
    <mergeCell ref="AA18:AD18"/>
    <mergeCell ref="AF25:AH25"/>
    <mergeCell ref="AF26:AH26"/>
    <mergeCell ref="AA43:AD43"/>
    <mergeCell ref="AF19:AH19"/>
    <mergeCell ref="AF20:AH20"/>
    <mergeCell ref="AF21:AH21"/>
    <mergeCell ref="AF22:AH22"/>
    <mergeCell ref="AF23:AH23"/>
    <mergeCell ref="AF24:AH24"/>
    <mergeCell ref="AJ23:AL23"/>
    <mergeCell ref="AA7:AD9"/>
    <mergeCell ref="AF7:AH9"/>
    <mergeCell ref="AF6:AH6"/>
    <mergeCell ref="AA37:AD37"/>
    <mergeCell ref="AF37:AH37"/>
    <mergeCell ref="AA38:AD40"/>
    <mergeCell ref="AF38:AH40"/>
    <mergeCell ref="AA6:AD6"/>
    <mergeCell ref="AJ34:AL34"/>
    <mergeCell ref="AJ77:AL77"/>
    <mergeCell ref="AM77:AO77"/>
    <mergeCell ref="AV98:AX98"/>
    <mergeCell ref="AP101:AR101"/>
    <mergeCell ref="G50:Y50"/>
    <mergeCell ref="G51:Y51"/>
    <mergeCell ref="G52:Y52"/>
    <mergeCell ref="G53:Y53"/>
    <mergeCell ref="G54:Y54"/>
    <mergeCell ref="G60:Y60"/>
    <mergeCell ref="G61:Y61"/>
    <mergeCell ref="AJ86:AL86"/>
    <mergeCell ref="AJ87:AL87"/>
    <mergeCell ref="AM87:AO87"/>
    <mergeCell ref="AJ85:AL85"/>
    <mergeCell ref="AA85:AD85"/>
    <mergeCell ref="AA86:AD86"/>
    <mergeCell ref="AP86:AR86"/>
    <mergeCell ref="AA67:AD67"/>
    <mergeCell ref="AF67:AH67"/>
    <mergeCell ref="AA68:AD70"/>
    <mergeCell ref="AS76:AU76"/>
    <mergeCell ref="AV85:AX85"/>
    <mergeCell ref="AS83:AU83"/>
    <mergeCell ref="AM84:AO84"/>
    <mergeCell ref="AJ99:AL99"/>
    <mergeCell ref="AS101:AU101"/>
    <mergeCell ref="AA92:AD92"/>
    <mergeCell ref="AF92:AH92"/>
    <mergeCell ref="AM85:AO85"/>
    <mergeCell ref="CD121:CE121"/>
    <mergeCell ref="CF121:CG121"/>
    <mergeCell ref="CD123:CE123"/>
    <mergeCell ref="CF123:CG123"/>
    <mergeCell ref="AA123:AD123"/>
    <mergeCell ref="BO123:BS123"/>
    <mergeCell ref="BT123:BV123"/>
    <mergeCell ref="BX123:BY123"/>
    <mergeCell ref="BZ123:CA123"/>
    <mergeCell ref="CB123:CC123"/>
    <mergeCell ref="AA119:AD119"/>
    <mergeCell ref="AA110:AD110"/>
    <mergeCell ref="AJ109:AL109"/>
    <mergeCell ref="AJ108:AL108"/>
    <mergeCell ref="AM108:AO108"/>
    <mergeCell ref="AP108:AR108"/>
    <mergeCell ref="AS108:AU108"/>
    <mergeCell ref="AV108:AX108"/>
    <mergeCell ref="AA117:AD117"/>
    <mergeCell ref="AS109:AU109"/>
    <mergeCell ref="BZ117:CA117"/>
    <mergeCell ref="CF117:CG117"/>
    <mergeCell ref="CF115:CG115"/>
    <mergeCell ref="CF110:CG110"/>
    <mergeCell ref="BO117:BS117"/>
    <mergeCell ref="CD117:CE117"/>
    <mergeCell ref="BO108:BS108"/>
    <mergeCell ref="AF112:AH112"/>
    <mergeCell ref="BZ121:CA121"/>
    <mergeCell ref="CB121:CC121"/>
    <mergeCell ref="BO112:BS112"/>
    <mergeCell ref="BX117:BY117"/>
    <mergeCell ref="B121:Y121"/>
    <mergeCell ref="AJ107:AL107"/>
    <mergeCell ref="B119:Y119"/>
    <mergeCell ref="G112:Y112"/>
    <mergeCell ref="BX121:BY121"/>
    <mergeCell ref="G99:Y99"/>
    <mergeCell ref="G100:Y100"/>
    <mergeCell ref="G101:Y101"/>
    <mergeCell ref="G107:Y107"/>
    <mergeCell ref="G108:Y108"/>
    <mergeCell ref="G109:Y109"/>
    <mergeCell ref="G110:Y110"/>
    <mergeCell ref="AJ100:AL100"/>
    <mergeCell ref="AP107:AR107"/>
    <mergeCell ref="BI93:BS93"/>
    <mergeCell ref="BI94:BI95"/>
    <mergeCell ref="BJ94:BJ95"/>
    <mergeCell ref="AS99:AU99"/>
    <mergeCell ref="AV99:AX99"/>
    <mergeCell ref="AM107:AO107"/>
    <mergeCell ref="AA93:AD95"/>
    <mergeCell ref="AF93:AH95"/>
    <mergeCell ref="AS107:AU107"/>
    <mergeCell ref="BK94:BK95"/>
    <mergeCell ref="BL94:BL95"/>
    <mergeCell ref="AV109:AX109"/>
    <mergeCell ref="AM100:AO100"/>
    <mergeCell ref="AP100:AR100"/>
    <mergeCell ref="AP95:AR95"/>
    <mergeCell ref="AS95:AU95"/>
    <mergeCell ref="AV101:AX101"/>
    <mergeCell ref="AS98:AU98"/>
    <mergeCell ref="BZ115:CA115"/>
    <mergeCell ref="CB115:CC115"/>
    <mergeCell ref="CD115:CE115"/>
    <mergeCell ref="CF99:CG99"/>
    <mergeCell ref="CD99:CE99"/>
    <mergeCell ref="CD103:CE103"/>
    <mergeCell ref="CF103:CG103"/>
    <mergeCell ref="CF107:CG107"/>
    <mergeCell ref="AM101:AO101"/>
    <mergeCell ref="BX97:BY97"/>
    <mergeCell ref="BX100:BY100"/>
    <mergeCell ref="BZ100:CA100"/>
    <mergeCell ref="CD100:CE100"/>
    <mergeCell ref="CF100:CG100"/>
    <mergeCell ref="CD101:CE101"/>
    <mergeCell ref="CF101:CG101"/>
    <mergeCell ref="CF97:CG97"/>
    <mergeCell ref="CD106:CE106"/>
    <mergeCell ref="CF106:CG106"/>
    <mergeCell ref="CB101:CC101"/>
    <mergeCell ref="BX106:BY106"/>
    <mergeCell ref="CB99:CC99"/>
    <mergeCell ref="CB103:CC103"/>
    <mergeCell ref="BZ99:CA99"/>
    <mergeCell ref="BX101:BY101"/>
    <mergeCell ref="BZ101:CA101"/>
    <mergeCell ref="BT44:BV44"/>
    <mergeCell ref="BO45:BS45"/>
    <mergeCell ref="AV45:AX45"/>
    <mergeCell ref="AJ37:AX38"/>
    <mergeCell ref="AJ39:AX39"/>
    <mergeCell ref="AJ40:AL40"/>
    <mergeCell ref="AM40:AO40"/>
    <mergeCell ref="AP40:AR40"/>
    <mergeCell ref="AS40:AU40"/>
    <mergeCell ref="AV40:AX40"/>
    <mergeCell ref="AJ43:AL43"/>
    <mergeCell ref="AM43:AO43"/>
    <mergeCell ref="AP43:AR43"/>
    <mergeCell ref="AS32:AU32"/>
    <mergeCell ref="AV32:AX32"/>
    <mergeCell ref="AJ61:AL61"/>
    <mergeCell ref="BI68:BS68"/>
    <mergeCell ref="AP60:AR60"/>
    <mergeCell ref="BE126:BG126"/>
    <mergeCell ref="BT117:BV117"/>
    <mergeCell ref="AN126:AU126"/>
    <mergeCell ref="AV126:AZ126"/>
    <mergeCell ref="AM30:AO30"/>
    <mergeCell ref="AP30:AR30"/>
    <mergeCell ref="AS30:AU30"/>
    <mergeCell ref="AV30:AX30"/>
    <mergeCell ref="BO87:BS87"/>
    <mergeCell ref="BN94:BN95"/>
    <mergeCell ref="BM94:BM95"/>
    <mergeCell ref="AM32:AO32"/>
    <mergeCell ref="AP84:AR84"/>
    <mergeCell ref="AS84:AU84"/>
    <mergeCell ref="AA13:AD13"/>
    <mergeCell ref="AJ13:AL13"/>
    <mergeCell ref="AA15:AD15"/>
    <mergeCell ref="AA16:AD16"/>
    <mergeCell ref="AJ15:AL15"/>
    <mergeCell ref="AA17:AD17"/>
    <mergeCell ref="AJ17:AL17"/>
    <mergeCell ref="AA19:AD19"/>
    <mergeCell ref="AJ19:AL19"/>
    <mergeCell ref="AA22:AD22"/>
    <mergeCell ref="AJ22:AL22"/>
    <mergeCell ref="AA14:AD14"/>
    <mergeCell ref="AJ14:AL14"/>
    <mergeCell ref="AF13:AH13"/>
    <mergeCell ref="AF14:AH14"/>
    <mergeCell ref="AF15:AH15"/>
    <mergeCell ref="AF16:AH16"/>
    <mergeCell ref="AF17:AH17"/>
    <mergeCell ref="CF16:CG16"/>
    <mergeCell ref="CD27:CE27"/>
    <mergeCell ref="CF27:CG27"/>
    <mergeCell ref="BZ28:CA28"/>
    <mergeCell ref="CB28:CC28"/>
    <mergeCell ref="CD28:CE28"/>
    <mergeCell ref="CF28:CG28"/>
    <mergeCell ref="AA21:AD21"/>
    <mergeCell ref="AJ21:AL21"/>
    <mergeCell ref="AA27:AD27"/>
    <mergeCell ref="AJ27:AL27"/>
    <mergeCell ref="AM17:AO17"/>
    <mergeCell ref="BZ19:CA19"/>
    <mergeCell ref="BZ20:CA20"/>
    <mergeCell ref="AJ24:AL24"/>
    <mergeCell ref="AM24:AO24"/>
    <mergeCell ref="AM27:AO27"/>
    <mergeCell ref="AS26:AU26"/>
    <mergeCell ref="AV26:AX26"/>
    <mergeCell ref="AM25:AO25"/>
    <mergeCell ref="AP25:AR25"/>
    <mergeCell ref="AS25:AU25"/>
    <mergeCell ref="AS18:AU18"/>
    <mergeCell ref="AV18:AX18"/>
    <mergeCell ref="AV17:AX17"/>
    <mergeCell ref="AV23:AX23"/>
    <mergeCell ref="AS28:AU28"/>
    <mergeCell ref="AV28:AX28"/>
    <mergeCell ref="AP19:AR19"/>
    <mergeCell ref="AP20:AR20"/>
    <mergeCell ref="AS20:AU20"/>
    <mergeCell ref="AJ18:AL18"/>
    <mergeCell ref="BK8:BK9"/>
    <mergeCell ref="BN8:BN9"/>
    <mergeCell ref="BL8:BL9"/>
    <mergeCell ref="BM8:BM9"/>
    <mergeCell ref="AM9:AO9"/>
    <mergeCell ref="AP9:AR9"/>
    <mergeCell ref="AS9:AU9"/>
    <mergeCell ref="AV9:AX9"/>
    <mergeCell ref="AJ6:AX7"/>
    <mergeCell ref="AV15:AX15"/>
    <mergeCell ref="AJ16:AL16"/>
    <mergeCell ref="AM16:AO16"/>
    <mergeCell ref="AP16:AR16"/>
    <mergeCell ref="AS16:AU16"/>
    <mergeCell ref="AV16:AX16"/>
    <mergeCell ref="AS43:AU43"/>
    <mergeCell ref="AA26:AD26"/>
    <mergeCell ref="AA29:AD29"/>
    <mergeCell ref="AA30:AD30"/>
    <mergeCell ref="AJ25:AL25"/>
    <mergeCell ref="AV43:AX43"/>
    <mergeCell ref="AA28:AD28"/>
    <mergeCell ref="AA34:AD34"/>
    <mergeCell ref="AJ30:AL30"/>
    <mergeCell ref="AA32:AD32"/>
    <mergeCell ref="BI37:BV37"/>
    <mergeCell ref="AP14:AR14"/>
    <mergeCell ref="AS14:AU14"/>
    <mergeCell ref="AP17:AR17"/>
    <mergeCell ref="AM18:AO18"/>
    <mergeCell ref="AA12:AD12"/>
    <mergeCell ref="AJ9:AL9"/>
    <mergeCell ref="BI6:BV6"/>
    <mergeCell ref="BX9:BY9"/>
    <mergeCell ref="BZ9:CA9"/>
    <mergeCell ref="CB9:CC9"/>
    <mergeCell ref="CF12:CG12"/>
    <mergeCell ref="CD15:CE15"/>
    <mergeCell ref="CF15:CG15"/>
    <mergeCell ref="CD13:CE13"/>
    <mergeCell ref="CF13:CG13"/>
    <mergeCell ref="AZ6:BG6"/>
    <mergeCell ref="BX6:CG8"/>
    <mergeCell ref="BX11:BY11"/>
    <mergeCell ref="BZ11:CA11"/>
    <mergeCell ref="BX14:BY14"/>
    <mergeCell ref="BZ14:CA14"/>
    <mergeCell ref="CB14:CC14"/>
    <mergeCell ref="BX12:BY12"/>
    <mergeCell ref="BZ12:CA12"/>
    <mergeCell ref="CB12:CC12"/>
    <mergeCell ref="BX15:BY15"/>
    <mergeCell ref="BZ15:CA15"/>
    <mergeCell ref="CB15:CC15"/>
    <mergeCell ref="BI7:BS7"/>
    <mergeCell ref="CD9:CE9"/>
    <mergeCell ref="BO8:BS9"/>
    <mergeCell ref="BT7:BV9"/>
    <mergeCell ref="CF9:CG9"/>
    <mergeCell ref="CF11:CG11"/>
    <mergeCell ref="AZ7:BC7"/>
    <mergeCell ref="BD7:BF7"/>
    <mergeCell ref="BI8:BI9"/>
    <mergeCell ref="BJ8:BJ9"/>
    <mergeCell ref="CD11:CE11"/>
    <mergeCell ref="CD16:CE16"/>
    <mergeCell ref="AV14:AX14"/>
    <mergeCell ref="CB11:CC11"/>
    <mergeCell ref="AS17:AU17"/>
    <mergeCell ref="BO12:BS12"/>
    <mergeCell ref="BT12:BV12"/>
    <mergeCell ref="BO13:BS13"/>
    <mergeCell ref="BO14:BS14"/>
    <mergeCell ref="BO15:BS15"/>
    <mergeCell ref="BO16:BS16"/>
    <mergeCell ref="BO17:BS17"/>
    <mergeCell ref="BT13:BV13"/>
    <mergeCell ref="BT14:BV14"/>
    <mergeCell ref="BT15:BV15"/>
    <mergeCell ref="BT16:BV16"/>
    <mergeCell ref="CD17:CE17"/>
    <mergeCell ref="AV12:AX12"/>
    <mergeCell ref="AS12:AU12"/>
    <mergeCell ref="BT17:BV17"/>
    <mergeCell ref="CD19:CE19"/>
    <mergeCell ref="BZ22:CA22"/>
    <mergeCell ref="CD22:CE22"/>
    <mergeCell ref="BX27:BY27"/>
    <mergeCell ref="CB48:CC48"/>
    <mergeCell ref="BZ49:CA49"/>
    <mergeCell ref="BX22:BY22"/>
    <mergeCell ref="AS19:AU19"/>
    <mergeCell ref="CD20:CE20"/>
    <mergeCell ref="B60:F60"/>
    <mergeCell ref="B62:F62"/>
    <mergeCell ref="B61:F61"/>
    <mergeCell ref="AS44:AU44"/>
    <mergeCell ref="AS46:AU46"/>
    <mergeCell ref="CD43:CE43"/>
    <mergeCell ref="BT43:BV43"/>
    <mergeCell ref="AV13:AX13"/>
    <mergeCell ref="AP50:AR50"/>
    <mergeCell ref="AP23:AR23"/>
    <mergeCell ref="AS23:AU23"/>
    <mergeCell ref="AS29:AU29"/>
    <mergeCell ref="AV29:AX29"/>
    <mergeCell ref="AJ29:AL29"/>
    <mergeCell ref="AM29:AO29"/>
    <mergeCell ref="AF30:AH30"/>
    <mergeCell ref="AF28:AH28"/>
    <mergeCell ref="AM49:AO49"/>
    <mergeCell ref="AM48:AO48"/>
    <mergeCell ref="BO34:BS34"/>
    <mergeCell ref="BO39:BS40"/>
    <mergeCell ref="BO30:BS30"/>
    <mergeCell ref="AP18:AR18"/>
    <mergeCell ref="CF45:CG45"/>
    <mergeCell ref="CD44:CE44"/>
    <mergeCell ref="BX46:BY46"/>
    <mergeCell ref="CF17:CG17"/>
    <mergeCell ref="CD26:CE26"/>
    <mergeCell ref="CF26:CG26"/>
    <mergeCell ref="AM26:AO26"/>
    <mergeCell ref="BX20:BY20"/>
    <mergeCell ref="BZ74:CA74"/>
    <mergeCell ref="CD77:CE77"/>
    <mergeCell ref="CB56:CC56"/>
    <mergeCell ref="BX75:BY75"/>
    <mergeCell ref="BZ75:CA75"/>
    <mergeCell ref="BX24:BY24"/>
    <mergeCell ref="BZ24:CA24"/>
    <mergeCell ref="CB24:CC24"/>
    <mergeCell ref="CD24:CE24"/>
    <mergeCell ref="CD30:CE30"/>
    <mergeCell ref="CF29:CG29"/>
    <mergeCell ref="BX44:BY44"/>
    <mergeCell ref="BZ44:CA44"/>
    <mergeCell ref="BX45:BY45"/>
    <mergeCell ref="CF30:CG30"/>
    <mergeCell ref="CF21:CG21"/>
    <mergeCell ref="CF20:CG20"/>
    <mergeCell ref="CB25:CC25"/>
    <mergeCell ref="CD25:CE25"/>
    <mergeCell ref="CF25:CG25"/>
    <mergeCell ref="CD29:CE29"/>
    <mergeCell ref="BX29:BY29"/>
    <mergeCell ref="BZ29:CA29"/>
    <mergeCell ref="AS54:AU54"/>
    <mergeCell ref="CF49:CG49"/>
    <mergeCell ref="CF50:CG50"/>
    <mergeCell ref="CF51:CG51"/>
    <mergeCell ref="CF48:CG48"/>
    <mergeCell ref="CF23:CG23"/>
    <mergeCell ref="CF19:CG19"/>
    <mergeCell ref="BX18:BY18"/>
    <mergeCell ref="BX21:BY21"/>
    <mergeCell ref="BX50:BY50"/>
    <mergeCell ref="CB42:CC42"/>
    <mergeCell ref="BZ40:CA40"/>
    <mergeCell ref="CB40:CC40"/>
    <mergeCell ref="CF18:CG18"/>
    <mergeCell ref="BX26:BY26"/>
    <mergeCell ref="CF46:CG46"/>
    <mergeCell ref="CB46:CC46"/>
    <mergeCell ref="BX19:BY19"/>
    <mergeCell ref="CB20:CC20"/>
    <mergeCell ref="CB21:CC21"/>
    <mergeCell ref="CB19:CC19"/>
    <mergeCell ref="CF47:CG47"/>
    <mergeCell ref="CF43:CG43"/>
    <mergeCell ref="CB49:CC49"/>
    <mergeCell ref="BX34:BY34"/>
    <mergeCell ref="BZ34:CA34"/>
    <mergeCell ref="CB34:CC34"/>
    <mergeCell ref="CD34:CE34"/>
    <mergeCell ref="CD42:CE42"/>
    <mergeCell ref="CD18:CE18"/>
    <mergeCell ref="CF40:CG40"/>
    <mergeCell ref="CB27:CC27"/>
    <mergeCell ref="CF44:CG44"/>
    <mergeCell ref="B134:CG134"/>
    <mergeCell ref="B42:F42"/>
    <mergeCell ref="B87:F87"/>
    <mergeCell ref="B101:F101"/>
    <mergeCell ref="B97:F97"/>
    <mergeCell ref="B98:F98"/>
    <mergeCell ref="B100:F100"/>
    <mergeCell ref="B82:F82"/>
    <mergeCell ref="B85:F85"/>
    <mergeCell ref="B86:F86"/>
    <mergeCell ref="B50:F50"/>
    <mergeCell ref="B51:F51"/>
    <mergeCell ref="B53:F53"/>
    <mergeCell ref="BZ110:CA110"/>
    <mergeCell ref="CB110:CC110"/>
    <mergeCell ref="B77:F77"/>
    <mergeCell ref="B54:F54"/>
    <mergeCell ref="CD79:CE79"/>
    <mergeCell ref="B52:F52"/>
    <mergeCell ref="CD74:CE74"/>
    <mergeCell ref="B72:F72"/>
    <mergeCell ref="B74:F74"/>
    <mergeCell ref="B75:F75"/>
    <mergeCell ref="CB100:CC100"/>
    <mergeCell ref="BX79:BY79"/>
    <mergeCell ref="CD54:CE54"/>
    <mergeCell ref="CD53:CE53"/>
    <mergeCell ref="CF70:CG70"/>
    <mergeCell ref="CF53:CG53"/>
    <mergeCell ref="CD52:CE52"/>
    <mergeCell ref="BZ47:CA47"/>
    <mergeCell ref="CB47:CC47"/>
    <mergeCell ref="G14:Y14"/>
    <mergeCell ref="G18:Y18"/>
    <mergeCell ref="G19:Y19"/>
    <mergeCell ref="G20:Y20"/>
    <mergeCell ref="G21:Y21"/>
    <mergeCell ref="B12:F12"/>
    <mergeCell ref="B19:F19"/>
    <mergeCell ref="B18:F18"/>
    <mergeCell ref="B15:F15"/>
    <mergeCell ref="CB16:CC16"/>
    <mergeCell ref="B13:F13"/>
    <mergeCell ref="BX61:BY61"/>
    <mergeCell ref="BZ61:CA61"/>
    <mergeCell ref="CB61:CC61"/>
    <mergeCell ref="CD14:CE14"/>
    <mergeCell ref="CD40:CE40"/>
    <mergeCell ref="BZ16:CA16"/>
    <mergeCell ref="CD21:CE21"/>
    <mergeCell ref="BX23:BY23"/>
    <mergeCell ref="BZ23:CA23"/>
    <mergeCell ref="CB23:CC23"/>
    <mergeCell ref="CD23:CE23"/>
    <mergeCell ref="B27:F27"/>
    <mergeCell ref="CD12:CE12"/>
    <mergeCell ref="CB29:CC29"/>
    <mergeCell ref="BZ51:CA51"/>
    <mergeCell ref="CB18:CC18"/>
    <mergeCell ref="BZ48:CA48"/>
    <mergeCell ref="CD46:CE46"/>
    <mergeCell ref="BK39:BK40"/>
    <mergeCell ref="BT47:BV47"/>
    <mergeCell ref="BO48:BS48"/>
    <mergeCell ref="CF14:CG14"/>
    <mergeCell ref="CF24:CG24"/>
    <mergeCell ref="CF34:CG34"/>
    <mergeCell ref="BX37:CG39"/>
    <mergeCell ref="CF64:CG64"/>
    <mergeCell ref="B11:F11"/>
    <mergeCell ref="B43:F43"/>
    <mergeCell ref="B44:F44"/>
    <mergeCell ref="B47:F47"/>
    <mergeCell ref="B28:F28"/>
    <mergeCell ref="G30:Y30"/>
    <mergeCell ref="B45:F45"/>
    <mergeCell ref="B46:F46"/>
    <mergeCell ref="B37:F40"/>
    <mergeCell ref="G37:Y40"/>
    <mergeCell ref="B34:F34"/>
    <mergeCell ref="B29:F29"/>
    <mergeCell ref="B26:F26"/>
    <mergeCell ref="B16:F16"/>
    <mergeCell ref="B17:F17"/>
    <mergeCell ref="B14:F14"/>
    <mergeCell ref="G11:Y11"/>
    <mergeCell ref="G42:Y42"/>
    <mergeCell ref="G15:Y15"/>
    <mergeCell ref="G16:Y16"/>
    <mergeCell ref="G17:Y17"/>
    <mergeCell ref="B23:F23"/>
    <mergeCell ref="B22:F22"/>
    <mergeCell ref="B24:F24"/>
    <mergeCell ref="G32:Y32"/>
    <mergeCell ref="G12:Y12"/>
    <mergeCell ref="G13:Y13"/>
    <mergeCell ref="BX13:BY13"/>
    <mergeCell ref="BZ13:CA13"/>
    <mergeCell ref="CB13:CC13"/>
    <mergeCell ref="BX16:BY16"/>
    <mergeCell ref="CB30:CC30"/>
    <mergeCell ref="BZ46:CA46"/>
    <mergeCell ref="BZ27:CA27"/>
    <mergeCell ref="BX17:BY17"/>
    <mergeCell ref="BZ17:CA17"/>
    <mergeCell ref="CB17:CC17"/>
    <mergeCell ref="BX25:BY25"/>
    <mergeCell ref="BZ25:CA25"/>
    <mergeCell ref="CB22:CC22"/>
    <mergeCell ref="BZ26:CA26"/>
    <mergeCell ref="CB26:CC26"/>
    <mergeCell ref="BX28:BY28"/>
    <mergeCell ref="BZ18:CA18"/>
    <mergeCell ref="BZ45:CA45"/>
    <mergeCell ref="BZ30:CA30"/>
    <mergeCell ref="BZ42:CA42"/>
    <mergeCell ref="BX40:BY40"/>
    <mergeCell ref="BZ43:CA43"/>
    <mergeCell ref="CB43:CC43"/>
    <mergeCell ref="B130:CG130"/>
    <mergeCell ref="AV20:AX20"/>
    <mergeCell ref="AM21:AO21"/>
    <mergeCell ref="AP21:AR21"/>
    <mergeCell ref="AS21:AU21"/>
    <mergeCell ref="AV21:AX21"/>
    <mergeCell ref="B21:F21"/>
    <mergeCell ref="AP22:AR22"/>
    <mergeCell ref="AS22:AU22"/>
    <mergeCell ref="AV22:AX22"/>
    <mergeCell ref="AV19:AX19"/>
    <mergeCell ref="AM22:AO22"/>
    <mergeCell ref="AA23:AD23"/>
    <mergeCell ref="AA24:AD24"/>
    <mergeCell ref="AA25:AD25"/>
    <mergeCell ref="BO25:BS25"/>
    <mergeCell ref="CF22:CG22"/>
    <mergeCell ref="CF42:CG42"/>
    <mergeCell ref="CF52:CG52"/>
    <mergeCell ref="B99:F99"/>
    <mergeCell ref="B89:F89"/>
    <mergeCell ref="BX89:BY89"/>
    <mergeCell ref="B83:F83"/>
    <mergeCell ref="BX83:BY83"/>
    <mergeCell ref="BZ83:CA83"/>
    <mergeCell ref="CB83:CC83"/>
    <mergeCell ref="B92:F95"/>
    <mergeCell ref="BZ21:CA21"/>
    <mergeCell ref="G72:Y72"/>
    <mergeCell ref="B67:F70"/>
    <mergeCell ref="CF82:CG82"/>
    <mergeCell ref="BT48:BV48"/>
    <mergeCell ref="CD45:CE45"/>
    <mergeCell ref="AP53:AR53"/>
    <mergeCell ref="AS53:AU53"/>
    <mergeCell ref="AV53:AX53"/>
    <mergeCell ref="AJ54:AL54"/>
    <mergeCell ref="AA79:AD79"/>
    <mergeCell ref="AA83:AD83"/>
    <mergeCell ref="AA84:AD84"/>
    <mergeCell ref="BO43:BS43"/>
    <mergeCell ref="BX48:BY48"/>
    <mergeCell ref="AV44:AX44"/>
    <mergeCell ref="AP74:AR74"/>
    <mergeCell ref="AM51:AO51"/>
    <mergeCell ref="AP51:AR51"/>
    <mergeCell ref="AV50:AX50"/>
    <mergeCell ref="AJ52:AL52"/>
    <mergeCell ref="AM52:AO52"/>
    <mergeCell ref="AP52:AR52"/>
    <mergeCell ref="AS52:AU52"/>
    <mergeCell ref="AV52:AX52"/>
    <mergeCell ref="AS51:AU51"/>
    <mergeCell ref="AV51:AX51"/>
    <mergeCell ref="AV76:AX76"/>
    <mergeCell ref="AP77:AR77"/>
    <mergeCell ref="AS77:AU77"/>
    <mergeCell ref="AV77:AX77"/>
    <mergeCell ref="AV54:AX54"/>
    <mergeCell ref="AA62:AD62"/>
    <mergeCell ref="AA64:AD64"/>
    <mergeCell ref="AA60:AD60"/>
    <mergeCell ref="AA61:AD61"/>
    <mergeCell ref="AF64:AH64"/>
    <mergeCell ref="G67:Y70"/>
    <mergeCell ref="AZ67:BG67"/>
    <mergeCell ref="AJ62:AL62"/>
    <mergeCell ref="AM62:AO62"/>
    <mergeCell ref="CB89:CC89"/>
    <mergeCell ref="CD89:CE89"/>
    <mergeCell ref="BX112:BY112"/>
    <mergeCell ref="B84:F84"/>
    <mergeCell ref="AJ74:AL74"/>
    <mergeCell ref="AM74:AO74"/>
    <mergeCell ref="CD47:CE47"/>
    <mergeCell ref="CD50:CE50"/>
    <mergeCell ref="CD51:CE51"/>
    <mergeCell ref="G92:Y95"/>
    <mergeCell ref="B64:F64"/>
    <mergeCell ref="AF61:AH61"/>
    <mergeCell ref="AF62:AH62"/>
    <mergeCell ref="AM60:AO60"/>
    <mergeCell ref="AV62:AX62"/>
    <mergeCell ref="AJ60:AL60"/>
    <mergeCell ref="AF53:AH53"/>
    <mergeCell ref="AF54:AH54"/>
    <mergeCell ref="BX62:BY62"/>
    <mergeCell ref="CD73:CE73"/>
    <mergeCell ref="AS86:AU86"/>
    <mergeCell ref="AV86:AX86"/>
    <mergeCell ref="AM83:AO83"/>
    <mergeCell ref="AP83:AR83"/>
    <mergeCell ref="BT98:BV98"/>
    <mergeCell ref="BO99:BS99"/>
    <mergeCell ref="CB87:CC87"/>
    <mergeCell ref="AP49:AR49"/>
    <mergeCell ref="CB45:CC45"/>
    <mergeCell ref="B49:F49"/>
    <mergeCell ref="CB53:CC53"/>
    <mergeCell ref="CB44:CC44"/>
    <mergeCell ref="B59:F59"/>
    <mergeCell ref="B56:F56"/>
    <mergeCell ref="AM44:AO44"/>
    <mergeCell ref="BZ54:CA54"/>
    <mergeCell ref="CB54:CC54"/>
    <mergeCell ref="BX54:BY54"/>
    <mergeCell ref="BX53:BY53"/>
    <mergeCell ref="AP46:AR46"/>
    <mergeCell ref="AA52:AD52"/>
    <mergeCell ref="BO52:BS52"/>
    <mergeCell ref="B132:CG132"/>
    <mergeCell ref="B131:CG131"/>
    <mergeCell ref="BX72:BY72"/>
    <mergeCell ref="BZ72:CA72"/>
    <mergeCell ref="CB72:CC72"/>
    <mergeCell ref="BX110:BY110"/>
    <mergeCell ref="BX85:BY85"/>
    <mergeCell ref="BZ79:CA79"/>
    <mergeCell ref="CB82:CC82"/>
    <mergeCell ref="CB75:CC75"/>
    <mergeCell ref="B76:F76"/>
    <mergeCell ref="CB79:CC79"/>
    <mergeCell ref="BX109:BY109"/>
    <mergeCell ref="BZ109:CA109"/>
    <mergeCell ref="CB109:CC109"/>
    <mergeCell ref="CD107:CE107"/>
    <mergeCell ref="CD56:CE56"/>
    <mergeCell ref="CF56:CG56"/>
    <mergeCell ref="B30:F30"/>
    <mergeCell ref="BX30:BY30"/>
    <mergeCell ref="BX56:BY56"/>
    <mergeCell ref="BX52:BY52"/>
    <mergeCell ref="G59:Y59"/>
    <mergeCell ref="B48:F48"/>
    <mergeCell ref="G34:Y34"/>
    <mergeCell ref="AA48:AD48"/>
    <mergeCell ref="AZ37:BG37"/>
    <mergeCell ref="AZ38:BC38"/>
    <mergeCell ref="BD38:BF38"/>
    <mergeCell ref="AM46:AO46"/>
    <mergeCell ref="AJ45:AL45"/>
    <mergeCell ref="AM45:AO45"/>
    <mergeCell ref="AP45:AR45"/>
    <mergeCell ref="AS45:AU45"/>
    <mergeCell ref="G49:Y49"/>
    <mergeCell ref="B32:F32"/>
    <mergeCell ref="BT46:BV46"/>
    <mergeCell ref="BO47:BS47"/>
    <mergeCell ref="AV46:AX46"/>
    <mergeCell ref="BO44:BS44"/>
    <mergeCell ref="BO49:BS49"/>
    <mergeCell ref="BT49:BV49"/>
    <mergeCell ref="BO50:BS50"/>
    <mergeCell ref="BT50:BV50"/>
    <mergeCell ref="BT38:BV40"/>
    <mergeCell ref="BI38:BS38"/>
    <mergeCell ref="BI39:BI40"/>
    <mergeCell ref="BJ39:BJ40"/>
    <mergeCell ref="BL39:BL40"/>
    <mergeCell ref="BN39:BN40"/>
    <mergeCell ref="AV25:AX25"/>
    <mergeCell ref="AV27:AX27"/>
    <mergeCell ref="AV48:AX48"/>
    <mergeCell ref="AP48:AR48"/>
    <mergeCell ref="AS48:AU48"/>
    <mergeCell ref="AS50:AU50"/>
    <mergeCell ref="BX42:BY42"/>
    <mergeCell ref="BX43:BY43"/>
    <mergeCell ref="AV24:AX24"/>
    <mergeCell ref="AP27:AR27"/>
    <mergeCell ref="AS27:AU27"/>
    <mergeCell ref="AM61:AO61"/>
    <mergeCell ref="AP61:AR61"/>
    <mergeCell ref="AS61:AU61"/>
    <mergeCell ref="AJ53:AL53"/>
    <mergeCell ref="AM53:AO53"/>
    <mergeCell ref="AP29:AR29"/>
    <mergeCell ref="AJ26:AL26"/>
    <mergeCell ref="AJ51:AL51"/>
    <mergeCell ref="AM34:AO34"/>
    <mergeCell ref="AP34:AR34"/>
    <mergeCell ref="AS34:AU34"/>
    <mergeCell ref="AV34:AX34"/>
    <mergeCell ref="AP24:AR24"/>
    <mergeCell ref="AS24:AU24"/>
    <mergeCell ref="AP32:AR32"/>
    <mergeCell ref="AP26:AR26"/>
    <mergeCell ref="AJ47:AL47"/>
    <mergeCell ref="AJ32:AL32"/>
    <mergeCell ref="AJ49:AL49"/>
    <mergeCell ref="BX47:BY47"/>
    <mergeCell ref="AS60:AU60"/>
    <mergeCell ref="AV110:AX110"/>
    <mergeCell ref="AJ94:AX94"/>
    <mergeCell ref="BT107:BV107"/>
    <mergeCell ref="BX76:BY76"/>
    <mergeCell ref="CB74:CC74"/>
    <mergeCell ref="BZ62:CA62"/>
    <mergeCell ref="CB62:CC62"/>
    <mergeCell ref="BJ69:BJ70"/>
    <mergeCell ref="BK69:BK70"/>
    <mergeCell ref="BL69:BL70"/>
    <mergeCell ref="BN69:BN70"/>
    <mergeCell ref="CF85:CG85"/>
    <mergeCell ref="CD72:CE72"/>
    <mergeCell ref="CF72:CG72"/>
    <mergeCell ref="BZ86:CA86"/>
    <mergeCell ref="CB86:CC86"/>
    <mergeCell ref="AM54:AO54"/>
    <mergeCell ref="CD85:CE85"/>
    <mergeCell ref="BX84:BY84"/>
    <mergeCell ref="BZ84:CA84"/>
    <mergeCell ref="CB84:CC84"/>
    <mergeCell ref="CD84:CE84"/>
    <mergeCell ref="CD82:CE82"/>
    <mergeCell ref="AV84:AX84"/>
    <mergeCell ref="AP85:AR85"/>
    <mergeCell ref="AS85:AU85"/>
    <mergeCell ref="CB60:CC60"/>
    <mergeCell ref="CF73:CG73"/>
    <mergeCell ref="AS74:AU74"/>
    <mergeCell ref="AV74:AX74"/>
    <mergeCell ref="BO77:BS77"/>
    <mergeCell ref="CF86:CG86"/>
    <mergeCell ref="CD49:CE49"/>
    <mergeCell ref="CD48:CE48"/>
    <mergeCell ref="AS47:AU47"/>
    <mergeCell ref="AV47:AX47"/>
    <mergeCell ref="AS49:AU49"/>
    <mergeCell ref="AV49:AX49"/>
    <mergeCell ref="AM50:AO50"/>
    <mergeCell ref="AM70:AO70"/>
    <mergeCell ref="CD60:CE60"/>
    <mergeCell ref="AM47:AO47"/>
    <mergeCell ref="AP47:AR47"/>
    <mergeCell ref="CD61:CE61"/>
    <mergeCell ref="BZ52:CA52"/>
    <mergeCell ref="CB52:CC52"/>
    <mergeCell ref="BT52:BV52"/>
    <mergeCell ref="BZ50:CA50"/>
    <mergeCell ref="BX49:BY49"/>
    <mergeCell ref="AV60:AX60"/>
    <mergeCell ref="BT60:BV60"/>
    <mergeCell ref="BO61:BS61"/>
    <mergeCell ref="BO69:BS70"/>
    <mergeCell ref="BT68:BV70"/>
    <mergeCell ref="BZ53:CA53"/>
    <mergeCell ref="AV70:AX70"/>
    <mergeCell ref="CB98:CC98"/>
    <mergeCell ref="BZ106:CA106"/>
    <mergeCell ref="CB106:CC106"/>
    <mergeCell ref="CB107:CC107"/>
    <mergeCell ref="BX107:BY107"/>
    <mergeCell ref="BD93:BF93"/>
    <mergeCell ref="BX95:BY95"/>
    <mergeCell ref="BZ95:CA95"/>
    <mergeCell ref="CB95:CC95"/>
    <mergeCell ref="BX99:BY99"/>
    <mergeCell ref="CD97:CE97"/>
    <mergeCell ref="CD98:CE98"/>
    <mergeCell ref="BX103:BY103"/>
    <mergeCell ref="CB50:CC50"/>
    <mergeCell ref="AP62:AR62"/>
    <mergeCell ref="AS62:AU62"/>
    <mergeCell ref="AP54:AR54"/>
    <mergeCell ref="BM69:BM70"/>
    <mergeCell ref="AZ92:BG92"/>
    <mergeCell ref="BX92:CG94"/>
    <mergeCell ref="AZ93:BC93"/>
    <mergeCell ref="BO83:BS83"/>
    <mergeCell ref="CD86:CE86"/>
    <mergeCell ref="CD95:CE95"/>
    <mergeCell ref="CF95:CG95"/>
    <mergeCell ref="AJ92:AX93"/>
    <mergeCell ref="BT87:BV87"/>
    <mergeCell ref="AP73:AR73"/>
    <mergeCell ref="AS73:AU73"/>
    <mergeCell ref="AV83:AX83"/>
    <mergeCell ref="AP76:AR76"/>
    <mergeCell ref="AM76:AO76"/>
    <mergeCell ref="AS100:AU100"/>
    <mergeCell ref="BZ103:CA103"/>
    <mergeCell ref="AP98:AR98"/>
    <mergeCell ref="AM99:AO99"/>
    <mergeCell ref="CF84:CG84"/>
    <mergeCell ref="BO109:BS109"/>
    <mergeCell ref="BT109:BV109"/>
    <mergeCell ref="BO110:BS110"/>
    <mergeCell ref="BZ87:CA87"/>
    <mergeCell ref="BT99:BV99"/>
    <mergeCell ref="BO100:BS100"/>
    <mergeCell ref="BT101:BV101"/>
    <mergeCell ref="BX108:BY108"/>
    <mergeCell ref="BO103:BS103"/>
    <mergeCell ref="BT103:BV103"/>
    <mergeCell ref="BO98:BS98"/>
    <mergeCell ref="BT100:BV100"/>
    <mergeCell ref="BO101:BS101"/>
    <mergeCell ref="BZ107:CA107"/>
    <mergeCell ref="AM95:AO95"/>
    <mergeCell ref="BO94:BS95"/>
    <mergeCell ref="BT93:BV95"/>
    <mergeCell ref="BT110:BV110"/>
    <mergeCell ref="AM110:AO110"/>
    <mergeCell ref="AM109:AO109"/>
    <mergeCell ref="AP109:AR109"/>
    <mergeCell ref="AP110:AR110"/>
    <mergeCell ref="AS110:AU110"/>
    <mergeCell ref="BZ97:CA97"/>
    <mergeCell ref="CB97:CC97"/>
    <mergeCell ref="BX98:BY98"/>
    <mergeCell ref="BZ98:CA98"/>
    <mergeCell ref="BX74:BY74"/>
    <mergeCell ref="BI67:BV67"/>
    <mergeCell ref="BO74:BS74"/>
    <mergeCell ref="BT74:BV74"/>
    <mergeCell ref="BO75:BS75"/>
    <mergeCell ref="BZ76:CA76"/>
    <mergeCell ref="CF74:CG74"/>
    <mergeCell ref="CD75:CE75"/>
    <mergeCell ref="CF75:CG75"/>
    <mergeCell ref="CD76:CE76"/>
    <mergeCell ref="CB70:CC70"/>
    <mergeCell ref="CF109:CG109"/>
    <mergeCell ref="BX86:BY86"/>
    <mergeCell ref="B128:CG128"/>
    <mergeCell ref="AA89:AD89"/>
    <mergeCell ref="AA98:AD98"/>
    <mergeCell ref="AA99:AD99"/>
    <mergeCell ref="AA100:AD100"/>
    <mergeCell ref="AA101:AD101"/>
    <mergeCell ref="AA103:AD103"/>
    <mergeCell ref="AA107:AD107"/>
    <mergeCell ref="AA108:AD108"/>
    <mergeCell ref="AA109:AD109"/>
    <mergeCell ref="CF119:CG119"/>
    <mergeCell ref="BZ112:CA112"/>
    <mergeCell ref="CB112:CC112"/>
    <mergeCell ref="CD112:CE112"/>
    <mergeCell ref="CF112:CG112"/>
    <mergeCell ref="BZ108:CA108"/>
    <mergeCell ref="CB108:CC108"/>
    <mergeCell ref="CD108:CE108"/>
    <mergeCell ref="AJ95:AL95"/>
    <mergeCell ref="B115:Y115"/>
    <mergeCell ref="AA115:AD115"/>
    <mergeCell ref="B117:Y117"/>
    <mergeCell ref="B107:F107"/>
    <mergeCell ref="CB117:CC117"/>
    <mergeCell ref="AV107:AX107"/>
    <mergeCell ref="BT112:BV112"/>
    <mergeCell ref="BT108:BV108"/>
    <mergeCell ref="G106:Y106"/>
    <mergeCell ref="CF98:CG98"/>
    <mergeCell ref="B112:F112"/>
    <mergeCell ref="BO107:BS107"/>
    <mergeCell ref="BO119:BS119"/>
    <mergeCell ref="BT119:BV119"/>
    <mergeCell ref="BX119:BY119"/>
    <mergeCell ref="BZ119:CA119"/>
    <mergeCell ref="CB119:CC119"/>
    <mergeCell ref="CD119:CE119"/>
    <mergeCell ref="B110:F110"/>
    <mergeCell ref="B109:F109"/>
    <mergeCell ref="CD110:CE110"/>
    <mergeCell ref="CD109:CE109"/>
    <mergeCell ref="BO115:BS115"/>
    <mergeCell ref="BT115:BV115"/>
    <mergeCell ref="AA112:AD112"/>
    <mergeCell ref="AJ110:AL110"/>
    <mergeCell ref="AF108:AH108"/>
    <mergeCell ref="AF109:AH109"/>
    <mergeCell ref="AF110:AH110"/>
    <mergeCell ref="AF115:AH115"/>
    <mergeCell ref="AF107:AH107"/>
    <mergeCell ref="BX115:BY115"/>
    <mergeCell ref="AF103:AH103"/>
    <mergeCell ref="AA53:AD53"/>
    <mergeCell ref="AA54:AD54"/>
    <mergeCell ref="AA56:AD56"/>
    <mergeCell ref="BO73:BS73"/>
    <mergeCell ref="BT73:BV73"/>
    <mergeCell ref="BX60:BY60"/>
    <mergeCell ref="BO53:BS53"/>
    <mergeCell ref="BT53:BV53"/>
    <mergeCell ref="BO54:BS54"/>
    <mergeCell ref="BT54:BV54"/>
    <mergeCell ref="BO56:BS56"/>
    <mergeCell ref="BT56:BV56"/>
    <mergeCell ref="AA75:AD75"/>
    <mergeCell ref="AA76:AD76"/>
    <mergeCell ref="AZ68:BC68"/>
    <mergeCell ref="BD68:BF68"/>
    <mergeCell ref="BT75:BV75"/>
    <mergeCell ref="BO76:BS76"/>
    <mergeCell ref="BT76:BV76"/>
    <mergeCell ref="BT62:BV62"/>
    <mergeCell ref="BO64:BS64"/>
    <mergeCell ref="BT64:BV64"/>
    <mergeCell ref="BX67:CG69"/>
    <mergeCell ref="BX64:BY64"/>
    <mergeCell ref="CB64:CC64"/>
    <mergeCell ref="CD64:CE64"/>
    <mergeCell ref="BO60:BS60"/>
    <mergeCell ref="AF74:AH74"/>
    <mergeCell ref="AF75:AH75"/>
    <mergeCell ref="AF76:AH76"/>
    <mergeCell ref="AV75:AX75"/>
    <mergeCell ref="G82:Y82"/>
    <mergeCell ref="G97:Y97"/>
    <mergeCell ref="AA73:AD73"/>
    <mergeCell ref="AP99:AR99"/>
    <mergeCell ref="AM75:AO75"/>
    <mergeCell ref="AP75:AR75"/>
    <mergeCell ref="AS75:AU75"/>
    <mergeCell ref="BO51:BS51"/>
    <mergeCell ref="BT51:BV51"/>
    <mergeCell ref="CF108:CG108"/>
    <mergeCell ref="CB51:CC51"/>
    <mergeCell ref="BO62:BS62"/>
    <mergeCell ref="BT77:BV77"/>
    <mergeCell ref="BO79:BS79"/>
    <mergeCell ref="BT79:BV79"/>
    <mergeCell ref="AV95:AX95"/>
    <mergeCell ref="BT83:BV83"/>
    <mergeCell ref="BO89:BS89"/>
    <mergeCell ref="BT89:BV89"/>
    <mergeCell ref="AV100:AX100"/>
    <mergeCell ref="BO84:BS84"/>
    <mergeCell ref="BT84:BV84"/>
    <mergeCell ref="BO85:BS85"/>
    <mergeCell ref="BT85:BV85"/>
    <mergeCell ref="BO86:BS86"/>
    <mergeCell ref="BT86:BV86"/>
    <mergeCell ref="BZ73:CA73"/>
    <mergeCell ref="CB73:CC73"/>
    <mergeCell ref="BZ56:CA56"/>
    <mergeCell ref="BZ64:CA64"/>
    <mergeCell ref="BX70:BY70"/>
    <mergeCell ref="BZ70:CA70"/>
    <mergeCell ref="CF54:CG54"/>
    <mergeCell ref="CF76:CG76"/>
    <mergeCell ref="BX51:BY51"/>
    <mergeCell ref="CF89:CG89"/>
    <mergeCell ref="BX87:BY87"/>
    <mergeCell ref="BZ85:CA85"/>
    <mergeCell ref="CB85:CC85"/>
    <mergeCell ref="CD87:CE87"/>
    <mergeCell ref="BZ82:CA82"/>
    <mergeCell ref="BZ77:CA77"/>
    <mergeCell ref="BX82:BY82"/>
    <mergeCell ref="CF87:CG87"/>
    <mergeCell ref="CF79:CG79"/>
    <mergeCell ref="CB76:CC76"/>
    <mergeCell ref="CF62:CG62"/>
    <mergeCell ref="CF61:CG61"/>
    <mergeCell ref="CF59:CG59"/>
    <mergeCell ref="CF60:CG60"/>
    <mergeCell ref="CD83:CE83"/>
    <mergeCell ref="CF83:CG83"/>
    <mergeCell ref="BX59:BY59"/>
    <mergeCell ref="BZ59:CA59"/>
    <mergeCell ref="CB59:CC59"/>
    <mergeCell ref="CD59:CE59"/>
    <mergeCell ref="CD62:CE62"/>
    <mergeCell ref="BZ60:CA60"/>
    <mergeCell ref="CF77:CG77"/>
    <mergeCell ref="CB77:CC77"/>
    <mergeCell ref="CD70:CE70"/>
    <mergeCell ref="BX73:BY73"/>
    <mergeCell ref="BX77:BY77"/>
    <mergeCell ref="BZ89:CA89"/>
    <mergeCell ref="BT18:BV18"/>
    <mergeCell ref="BT19:BV19"/>
    <mergeCell ref="BT20:BV20"/>
    <mergeCell ref="BT21:BV21"/>
    <mergeCell ref="BT26:BV26"/>
    <mergeCell ref="BT27:BV27"/>
    <mergeCell ref="BO26:BS26"/>
    <mergeCell ref="BT28:BV28"/>
    <mergeCell ref="BT32:BV32"/>
    <mergeCell ref="BO27:BS27"/>
    <mergeCell ref="BO29:BS29"/>
    <mergeCell ref="BT22:BV22"/>
    <mergeCell ref="BO18:BS18"/>
    <mergeCell ref="BO19:BS19"/>
    <mergeCell ref="BO20:BS20"/>
    <mergeCell ref="BO21:BS21"/>
    <mergeCell ref="BO22:BS22"/>
    <mergeCell ref="BT30:BV30"/>
    <mergeCell ref="BT23:BV23"/>
    <mergeCell ref="BT24:BV24"/>
    <mergeCell ref="BT25:BV25"/>
    <mergeCell ref="BO23:BS23"/>
    <mergeCell ref="BO24:BS24"/>
    <mergeCell ref="BO28:BS28"/>
    <mergeCell ref="BO32:BS32"/>
    <mergeCell ref="BT29:BV29"/>
    <mergeCell ref="AF99:AH99"/>
    <mergeCell ref="AF100:AH100"/>
    <mergeCell ref="AF34:AH34"/>
    <mergeCell ref="AF43:AH43"/>
    <mergeCell ref="AF60:AH60"/>
    <mergeCell ref="AF73:AH73"/>
    <mergeCell ref="AF83:AH83"/>
    <mergeCell ref="AF98:AH98"/>
    <mergeCell ref="AF44:AH44"/>
    <mergeCell ref="AF45:AH45"/>
    <mergeCell ref="AF46:AH46"/>
    <mergeCell ref="AF47:AH47"/>
    <mergeCell ref="AF48:AH48"/>
    <mergeCell ref="AF29:AH29"/>
    <mergeCell ref="AF56:AH56"/>
    <mergeCell ref="AF79:AH79"/>
    <mergeCell ref="AF87:AH87"/>
    <mergeCell ref="AF89:AH89"/>
    <mergeCell ref="AF32:AH32"/>
    <mergeCell ref="AF68:AH70"/>
    <mergeCell ref="G79:Y79"/>
    <mergeCell ref="G89:Y89"/>
    <mergeCell ref="AA45:AD45"/>
    <mergeCell ref="B73:F73"/>
    <mergeCell ref="AP44:AR44"/>
    <mergeCell ref="BI92:BV92"/>
    <mergeCell ref="AF77:AH77"/>
    <mergeCell ref="AF84:AH84"/>
    <mergeCell ref="AF85:AH85"/>
    <mergeCell ref="AF86:AH86"/>
    <mergeCell ref="B2:F4"/>
    <mergeCell ref="G2:R4"/>
    <mergeCell ref="T2:AF4"/>
    <mergeCell ref="AG2:AN4"/>
    <mergeCell ref="AP2:AZ4"/>
    <mergeCell ref="BA2:BC4"/>
    <mergeCell ref="BE2:BI4"/>
    <mergeCell ref="G56:Y56"/>
    <mergeCell ref="G64:Y64"/>
    <mergeCell ref="BT34:BV34"/>
    <mergeCell ref="AV73:AX73"/>
    <mergeCell ref="AP70:AR70"/>
    <mergeCell ref="AS70:AU70"/>
    <mergeCell ref="AJ67:AX68"/>
    <mergeCell ref="AJ69:AX69"/>
    <mergeCell ref="AJ70:AL70"/>
    <mergeCell ref="BT61:BV61"/>
    <mergeCell ref="AV61:AX61"/>
    <mergeCell ref="BM39:BM40"/>
    <mergeCell ref="BI69:BI70"/>
    <mergeCell ref="BT45:BV45"/>
    <mergeCell ref="BO46:BS46"/>
  </mergeCells>
  <pageMargins left="0.7" right="0.7" top="0.75" bottom="0.75" header="0.3" footer="0.3"/>
  <pageSetup paperSize="9" scale="35" orientation="portrait" horizontalDpi="4294967293" verticalDpi="200" r:id="rId1"/>
  <rowBreaks count="3" manualBreakCount="3">
    <brk id="35" max="85" man="1"/>
    <brk id="65" max="85" man="1"/>
    <brk id="90" max="85" man="1"/>
  </rowBreaks>
  <ignoredErrors>
    <ignoredError sqref="AA6 AF6 AZ8:BG8 BT7 AZ39:BG39 BT38 AA37 AF37 AA67 AF67 AZ69:BG69 BT68 AA92 AF92 AZ94:BG94 BT93" numberStoredAsText="1"/>
    <ignoredError sqref="BL13 BI2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8FC93-D87D-453A-8782-7A2EC6BB9956}">
  <dimension ref="B1:AW161"/>
  <sheetViews>
    <sheetView showGridLines="0" showRowColHeaders="0" tabSelected="1" topLeftCell="A31" zoomScale="69" zoomScaleNormal="69" zoomScaleSheetLayoutView="70" workbookViewId="0">
      <selection activeCell="AH56" sqref="AH56"/>
    </sheetView>
  </sheetViews>
  <sheetFormatPr defaultColWidth="8.7265625" defaultRowHeight="15.5" x14ac:dyDescent="0.35"/>
  <cols>
    <col min="1" max="27" width="2.08984375" style="1" customWidth="1"/>
    <col min="28" max="28" width="0.90625" style="1" customWidth="1"/>
    <col min="29" max="29" width="1" style="1" customWidth="1"/>
    <col min="30" max="35" width="9.6328125" style="1" customWidth="1"/>
    <col min="36" max="43" width="2.08984375" style="1" customWidth="1"/>
    <col min="44" max="44" width="1.36328125" style="1" customWidth="1"/>
    <col min="45" max="46" width="8.7265625" style="1"/>
    <col min="47" max="47" width="8.7265625" style="1" customWidth="1"/>
    <col min="48" max="16384" width="8.7265625" style="1"/>
  </cols>
  <sheetData>
    <row r="1" spans="2:49" ht="14.5" customHeight="1" x14ac:dyDescent="0.35"/>
    <row r="2" spans="2:49" ht="19.5" customHeight="1" x14ac:dyDescent="0.35">
      <c r="B2" s="149" t="s">
        <v>54</v>
      </c>
      <c r="C2" s="150"/>
      <c r="D2" s="150"/>
      <c r="E2" s="150"/>
      <c r="F2" s="151"/>
      <c r="G2" s="149" t="s">
        <v>141</v>
      </c>
      <c r="H2" s="150"/>
      <c r="I2" s="150"/>
      <c r="J2" s="150"/>
      <c r="K2" s="150"/>
      <c r="L2" s="150"/>
      <c r="M2" s="150"/>
      <c r="N2" s="150"/>
      <c r="O2" s="150"/>
      <c r="P2" s="150"/>
      <c r="Q2" s="150"/>
      <c r="R2" s="150"/>
      <c r="S2" s="150"/>
      <c r="T2" s="150"/>
      <c r="U2" s="150"/>
      <c r="V2" s="150"/>
      <c r="W2" s="150"/>
      <c r="X2" s="150"/>
      <c r="Y2" s="150"/>
      <c r="Z2" s="150"/>
      <c r="AA2" s="151"/>
      <c r="AC2" s="9"/>
      <c r="AD2" s="115" t="s">
        <v>61</v>
      </c>
      <c r="AE2" s="116"/>
      <c r="AF2" s="116"/>
      <c r="AG2" s="116"/>
      <c r="AH2" s="116"/>
      <c r="AI2" s="116"/>
      <c r="AJ2" s="116"/>
      <c r="AK2" s="116"/>
      <c r="AL2" s="116"/>
      <c r="AM2" s="116"/>
      <c r="AN2" s="116"/>
      <c r="AO2" s="116"/>
      <c r="AP2" s="116"/>
      <c r="AQ2" s="117"/>
    </row>
    <row r="3" spans="2:49" ht="16" customHeight="1" x14ac:dyDescent="0.35">
      <c r="B3" s="152"/>
      <c r="C3" s="153"/>
      <c r="D3" s="153"/>
      <c r="E3" s="153"/>
      <c r="F3" s="154"/>
      <c r="G3" s="152"/>
      <c r="H3" s="153"/>
      <c r="I3" s="153"/>
      <c r="J3" s="153"/>
      <c r="K3" s="153"/>
      <c r="L3" s="153"/>
      <c r="M3" s="153"/>
      <c r="N3" s="153"/>
      <c r="O3" s="153"/>
      <c r="P3" s="153"/>
      <c r="Q3" s="153"/>
      <c r="R3" s="153"/>
      <c r="S3" s="153"/>
      <c r="T3" s="153"/>
      <c r="U3" s="153"/>
      <c r="V3" s="153"/>
      <c r="W3" s="153"/>
      <c r="X3" s="153"/>
      <c r="Y3" s="153"/>
      <c r="Z3" s="153"/>
      <c r="AA3" s="154"/>
      <c r="AC3" s="9"/>
      <c r="AD3" s="82" t="s">
        <v>67</v>
      </c>
      <c r="AE3" s="83"/>
      <c r="AF3" s="83"/>
      <c r="AG3" s="83"/>
      <c r="AH3" s="83"/>
      <c r="AI3" s="83"/>
      <c r="AJ3" s="83"/>
      <c r="AK3" s="83"/>
      <c r="AL3" s="83"/>
      <c r="AM3" s="83"/>
      <c r="AN3" s="84"/>
      <c r="AO3" s="85" t="s">
        <v>57</v>
      </c>
      <c r="AP3" s="86"/>
      <c r="AQ3" s="87"/>
    </row>
    <row r="4" spans="2:49" ht="16" customHeight="1" x14ac:dyDescent="0.35">
      <c r="B4" s="152"/>
      <c r="C4" s="153"/>
      <c r="D4" s="153"/>
      <c r="E4" s="153"/>
      <c r="F4" s="154"/>
      <c r="G4" s="152"/>
      <c r="H4" s="153"/>
      <c r="I4" s="153"/>
      <c r="J4" s="153"/>
      <c r="K4" s="153"/>
      <c r="L4" s="153"/>
      <c r="M4" s="153"/>
      <c r="N4" s="153"/>
      <c r="O4" s="153"/>
      <c r="P4" s="153"/>
      <c r="Q4" s="153"/>
      <c r="R4" s="153"/>
      <c r="S4" s="153"/>
      <c r="T4" s="153"/>
      <c r="U4" s="153"/>
      <c r="V4" s="153"/>
      <c r="W4" s="153"/>
      <c r="X4" s="153"/>
      <c r="Y4" s="153"/>
      <c r="Z4" s="153"/>
      <c r="AA4" s="154"/>
      <c r="AC4" s="9"/>
      <c r="AD4" s="261" t="s">
        <v>59</v>
      </c>
      <c r="AE4" s="261" t="s">
        <v>58</v>
      </c>
      <c r="AF4" s="261" t="s">
        <v>138</v>
      </c>
      <c r="AG4" s="261" t="s">
        <v>135</v>
      </c>
      <c r="AH4" s="261" t="s">
        <v>66</v>
      </c>
      <c r="AI4" s="161" t="s">
        <v>60</v>
      </c>
      <c r="AJ4" s="85" t="s">
        <v>53</v>
      </c>
      <c r="AK4" s="86"/>
      <c r="AL4" s="86"/>
      <c r="AM4" s="86"/>
      <c r="AN4" s="87"/>
      <c r="AO4" s="88"/>
      <c r="AP4" s="89"/>
      <c r="AQ4" s="90"/>
    </row>
    <row r="5" spans="2:49" ht="31" customHeight="1" x14ac:dyDescent="0.35">
      <c r="B5" s="155"/>
      <c r="C5" s="156"/>
      <c r="D5" s="156"/>
      <c r="E5" s="156"/>
      <c r="F5" s="157"/>
      <c r="G5" s="155"/>
      <c r="H5" s="156"/>
      <c r="I5" s="156"/>
      <c r="J5" s="156"/>
      <c r="K5" s="156"/>
      <c r="L5" s="156"/>
      <c r="M5" s="156"/>
      <c r="N5" s="156"/>
      <c r="O5" s="156"/>
      <c r="P5" s="156"/>
      <c r="Q5" s="156"/>
      <c r="R5" s="156"/>
      <c r="S5" s="156"/>
      <c r="T5" s="156"/>
      <c r="U5" s="156"/>
      <c r="V5" s="156"/>
      <c r="W5" s="156"/>
      <c r="X5" s="156"/>
      <c r="Y5" s="156"/>
      <c r="Z5" s="156"/>
      <c r="AA5" s="157"/>
      <c r="AC5" s="9"/>
      <c r="AD5" s="261"/>
      <c r="AE5" s="261"/>
      <c r="AF5" s="261"/>
      <c r="AG5" s="261"/>
      <c r="AH5" s="261"/>
      <c r="AI5" s="161"/>
      <c r="AJ5" s="91"/>
      <c r="AK5" s="92"/>
      <c r="AL5" s="92"/>
      <c r="AM5" s="92"/>
      <c r="AN5" s="93"/>
      <c r="AO5" s="91"/>
      <c r="AP5" s="92"/>
      <c r="AQ5" s="93"/>
    </row>
    <row r="6" spans="2:49" ht="4.5" customHeight="1" x14ac:dyDescent="0.35"/>
    <row r="7" spans="2:49" s="9" customFormat="1" ht="24" customHeight="1" x14ac:dyDescent="0.35">
      <c r="B7" s="194" t="str">
        <f>('DID5259 RPOA Actions'!B11)</f>
        <v>IV.02</v>
      </c>
      <c r="C7" s="195"/>
      <c r="D7" s="195"/>
      <c r="E7" s="195"/>
      <c r="F7" s="196"/>
      <c r="G7" s="194" t="str">
        <f>('DID5259 RPOA Actions'!G11)</f>
        <v>cSM (cross-cutting)</v>
      </c>
      <c r="H7" s="195"/>
      <c r="I7" s="195"/>
      <c r="J7" s="195"/>
      <c r="K7" s="195"/>
      <c r="L7" s="195"/>
      <c r="M7" s="195"/>
      <c r="N7" s="195"/>
      <c r="O7" s="195"/>
      <c r="P7" s="195"/>
      <c r="Q7" s="195"/>
      <c r="R7" s="195"/>
      <c r="S7" s="195"/>
      <c r="T7" s="195"/>
      <c r="U7" s="195"/>
      <c r="V7" s="195"/>
      <c r="W7" s="195"/>
      <c r="X7" s="195"/>
      <c r="Y7" s="195"/>
      <c r="Z7" s="195"/>
      <c r="AA7" s="196"/>
      <c r="AS7" s="22"/>
      <c r="AT7" s="22"/>
      <c r="AU7" s="22"/>
      <c r="AV7" s="22"/>
    </row>
    <row r="8" spans="2:49" ht="4.5" customHeight="1" x14ac:dyDescent="0.35">
      <c r="AB8" s="9"/>
      <c r="AC8" s="9"/>
      <c r="AD8" s="30"/>
      <c r="AE8" s="30"/>
      <c r="AF8" s="30"/>
      <c r="AG8" s="30"/>
      <c r="AH8" s="30"/>
      <c r="AI8" s="30"/>
      <c r="AJ8" s="30"/>
      <c r="AK8" s="30"/>
      <c r="AL8" s="30"/>
      <c r="AM8" s="30"/>
      <c r="AN8" s="30"/>
      <c r="AO8" s="30"/>
      <c r="AP8" s="28"/>
      <c r="AQ8" s="28"/>
    </row>
    <row r="9" spans="2:49" s="9" customFormat="1" ht="24" customHeight="1" x14ac:dyDescent="0.35">
      <c r="B9" s="268"/>
      <c r="C9" s="268"/>
      <c r="D9" s="268"/>
      <c r="E9" s="268"/>
      <c r="F9" s="268"/>
      <c r="G9" s="194" t="str">
        <f>('DID5259 RPOA Actions'!G34)</f>
        <v>Sub-total:</v>
      </c>
      <c r="H9" s="195"/>
      <c r="I9" s="195"/>
      <c r="J9" s="195"/>
      <c r="K9" s="195"/>
      <c r="L9" s="195"/>
      <c r="M9" s="195"/>
      <c r="N9" s="195"/>
      <c r="O9" s="195"/>
      <c r="P9" s="195"/>
      <c r="Q9" s="195"/>
      <c r="R9" s="195"/>
      <c r="S9" s="195"/>
      <c r="T9" s="195"/>
      <c r="U9" s="195"/>
      <c r="V9" s="195"/>
      <c r="W9" s="195"/>
      <c r="X9" s="195"/>
      <c r="Y9" s="195"/>
      <c r="Z9" s="195"/>
      <c r="AA9" s="196"/>
      <c r="AB9" s="8"/>
      <c r="AC9" s="8"/>
      <c r="AD9" s="31">
        <f>('DID5259 RPOA Actions'!BI34)</f>
        <v>1200000</v>
      </c>
      <c r="AE9" s="31">
        <f>('DID5259 RPOA Actions'!BJ34)</f>
        <v>86000</v>
      </c>
      <c r="AF9" s="31">
        <f>('DID5259 RPOA Actions'!BK34)</f>
        <v>2040750</v>
      </c>
      <c r="AG9" s="31">
        <f>('DID5259 RPOA Actions'!BL34)</f>
        <v>900000</v>
      </c>
      <c r="AH9" s="31">
        <f>('DID5259 RPOA Actions'!BM34)</f>
        <v>3166700</v>
      </c>
      <c r="AI9" s="31">
        <f>('DID5259 RPOA Actions'!BN34)</f>
        <v>1512000</v>
      </c>
      <c r="AJ9" s="269">
        <f>('DID5259 RPOA Actions'!BO34)</f>
        <v>8905450</v>
      </c>
      <c r="AK9" s="270"/>
      <c r="AL9" s="270"/>
      <c r="AM9" s="270"/>
      <c r="AN9" s="271"/>
      <c r="AO9" s="265">
        <f>('DID5259 RPOA Actions'!BT34)</f>
        <v>34.388623945320802</v>
      </c>
      <c r="AP9" s="266"/>
      <c r="AQ9" s="267"/>
    </row>
    <row r="10" spans="2:49" ht="4.5" customHeight="1" x14ac:dyDescent="0.35">
      <c r="AB10" s="9"/>
      <c r="AC10" s="9"/>
      <c r="AD10" s="9"/>
      <c r="AE10" s="9"/>
      <c r="AF10" s="9"/>
      <c r="AG10" s="9"/>
      <c r="AH10" s="9"/>
      <c r="AI10" s="9"/>
      <c r="AJ10" s="9"/>
      <c r="AK10" s="9"/>
      <c r="AL10" s="9"/>
      <c r="AM10" s="9"/>
      <c r="AN10" s="9"/>
      <c r="AO10" s="9"/>
      <c r="AP10" s="9"/>
      <c r="AQ10" s="9"/>
    </row>
    <row r="11" spans="2:49" ht="4.5" customHeight="1" x14ac:dyDescent="0.35">
      <c r="AB11" s="9"/>
      <c r="AC11" s="9"/>
      <c r="AD11" s="9"/>
      <c r="AE11" s="9"/>
      <c r="AF11" s="9"/>
      <c r="AG11" s="9"/>
      <c r="AH11" s="9"/>
      <c r="AI11" s="9"/>
      <c r="AJ11" s="9"/>
      <c r="AK11" s="9"/>
      <c r="AL11" s="9"/>
      <c r="AM11" s="9"/>
      <c r="AN11" s="9"/>
      <c r="AO11" s="9"/>
      <c r="AP11" s="9"/>
      <c r="AQ11" s="9"/>
    </row>
    <row r="12" spans="2:49" s="9" customFormat="1" ht="24" customHeight="1" x14ac:dyDescent="0.35">
      <c r="B12" s="194" t="str">
        <f>('DID5259 RPOA Actions'!B42)</f>
        <v>IV.03</v>
      </c>
      <c r="C12" s="195"/>
      <c r="D12" s="195"/>
      <c r="E12" s="195"/>
      <c r="F12" s="196"/>
      <c r="G12" s="194" t="str">
        <f>('DID5259 RPOA Actions'!G42)</f>
        <v>Internatn Instruments (Legal)</v>
      </c>
      <c r="H12" s="195"/>
      <c r="I12" s="195"/>
      <c r="J12" s="195"/>
      <c r="K12" s="195"/>
      <c r="L12" s="195"/>
      <c r="M12" s="195"/>
      <c r="N12" s="195"/>
      <c r="O12" s="195"/>
      <c r="P12" s="195"/>
      <c r="Q12" s="195"/>
      <c r="R12" s="195"/>
      <c r="S12" s="195"/>
      <c r="T12" s="195"/>
      <c r="U12" s="195"/>
      <c r="V12" s="195"/>
      <c r="W12" s="195"/>
      <c r="X12" s="195"/>
      <c r="Y12" s="195"/>
      <c r="Z12" s="195"/>
      <c r="AA12" s="196"/>
      <c r="AD12" s="26"/>
      <c r="AE12" s="26"/>
      <c r="AF12" s="26"/>
      <c r="AG12" s="26"/>
      <c r="AH12" s="26"/>
      <c r="AI12" s="26"/>
      <c r="AJ12" s="28"/>
      <c r="AK12" s="28"/>
      <c r="AL12" s="28"/>
      <c r="AM12" s="28"/>
      <c r="AN12" s="28"/>
      <c r="AO12" s="28"/>
      <c r="AP12" s="28"/>
      <c r="AQ12" s="28"/>
    </row>
    <row r="13" spans="2:49" ht="4.5" customHeight="1" x14ac:dyDescent="0.35">
      <c r="AB13" s="9"/>
      <c r="AC13" s="9"/>
      <c r="AD13" s="30"/>
      <c r="AE13" s="30"/>
      <c r="AF13" s="30"/>
      <c r="AG13" s="30"/>
      <c r="AH13" s="30"/>
      <c r="AI13" s="30"/>
      <c r="AJ13" s="30"/>
      <c r="AK13" s="30"/>
      <c r="AL13" s="30"/>
      <c r="AM13" s="30"/>
      <c r="AN13" s="30"/>
      <c r="AO13" s="41"/>
      <c r="AP13" s="42"/>
      <c r="AQ13" s="42"/>
    </row>
    <row r="14" spans="2:49" s="9" customFormat="1" ht="24" customHeight="1" x14ac:dyDescent="0.3">
      <c r="B14" s="268"/>
      <c r="C14" s="268"/>
      <c r="D14" s="268"/>
      <c r="E14" s="268"/>
      <c r="F14" s="268"/>
      <c r="G14" s="103" t="str">
        <f>('DID5259 RPOA Actions'!G56)</f>
        <v>Sub-total:</v>
      </c>
      <c r="H14" s="104"/>
      <c r="I14" s="104"/>
      <c r="J14" s="104"/>
      <c r="K14" s="104"/>
      <c r="L14" s="104"/>
      <c r="M14" s="104"/>
      <c r="N14" s="104"/>
      <c r="O14" s="104"/>
      <c r="P14" s="104"/>
      <c r="Q14" s="104"/>
      <c r="R14" s="104"/>
      <c r="S14" s="104"/>
      <c r="T14" s="104"/>
      <c r="U14" s="104"/>
      <c r="V14" s="104"/>
      <c r="W14" s="104"/>
      <c r="X14" s="104"/>
      <c r="Y14" s="104"/>
      <c r="Z14" s="104"/>
      <c r="AA14" s="105"/>
      <c r="AB14" s="8"/>
      <c r="AC14" s="8"/>
      <c r="AD14" s="31">
        <f>('DID5259 RPOA Actions'!BI56)</f>
        <v>252000</v>
      </c>
      <c r="AE14" s="31">
        <f>('DID5259 RPOA Actions'!BJ56)</f>
        <v>45000</v>
      </c>
      <c r="AF14" s="31">
        <f>('DID5259 RPOA Actions'!BK56)</f>
        <v>21000</v>
      </c>
      <c r="AG14" s="31">
        <f>('DID5259 RPOA Actions'!BL56)</f>
        <v>384000</v>
      </c>
      <c r="AH14" s="31">
        <f>('DID5259 RPOA Actions'!BM56)</f>
        <v>183400</v>
      </c>
      <c r="AI14" s="49" t="s">
        <v>136</v>
      </c>
      <c r="AJ14" s="269">
        <f>('DID5259 RPOA Actions'!BO56)</f>
        <v>885400</v>
      </c>
      <c r="AK14" s="270"/>
      <c r="AL14" s="270"/>
      <c r="AM14" s="270"/>
      <c r="AN14" s="271"/>
      <c r="AO14" s="262">
        <f>('DID5259 RPOA Actions'!BT56)</f>
        <v>3.4189948448632057</v>
      </c>
      <c r="AP14" s="263"/>
      <c r="AQ14" s="264"/>
      <c r="AW14" s="48"/>
    </row>
    <row r="15" spans="2:49" ht="4.5" customHeight="1" x14ac:dyDescent="0.35">
      <c r="AB15" s="9"/>
      <c r="AC15" s="9"/>
      <c r="AD15" s="9"/>
      <c r="AE15" s="9"/>
      <c r="AF15" s="9"/>
      <c r="AG15" s="9"/>
      <c r="AH15" s="9"/>
      <c r="AI15" s="9"/>
      <c r="AJ15" s="9"/>
      <c r="AK15" s="9"/>
      <c r="AL15" s="9"/>
      <c r="AM15" s="9"/>
      <c r="AN15" s="9"/>
      <c r="AO15" s="9"/>
      <c r="AP15" s="9"/>
      <c r="AQ15" s="9"/>
    </row>
    <row r="16" spans="2:49" ht="4.5" customHeight="1" x14ac:dyDescent="0.35">
      <c r="AB16" s="9"/>
      <c r="AC16" s="9"/>
      <c r="AD16" s="9"/>
      <c r="AE16" s="9"/>
      <c r="AF16" s="9"/>
      <c r="AG16" s="9"/>
      <c r="AH16" s="9"/>
      <c r="AI16" s="9"/>
      <c r="AJ16" s="9"/>
      <c r="AK16" s="9"/>
      <c r="AL16" s="9"/>
      <c r="AM16" s="9"/>
      <c r="AN16" s="9"/>
      <c r="AO16" s="9"/>
      <c r="AP16" s="9"/>
      <c r="AQ16" s="9"/>
    </row>
    <row r="17" spans="2:43" s="9" customFormat="1" ht="24" customHeight="1" x14ac:dyDescent="0.35">
      <c r="B17" s="194" t="str">
        <f>('DID5259 RPOA Actions'!B59)</f>
        <v>IV.04</v>
      </c>
      <c r="C17" s="195"/>
      <c r="D17" s="195"/>
      <c r="E17" s="195"/>
      <c r="F17" s="196"/>
      <c r="G17" s="194" t="str">
        <f>('DID5259 RPOA Actions'!G59)</f>
        <v>National Legislation (Legal)</v>
      </c>
      <c r="H17" s="195"/>
      <c r="I17" s="195"/>
      <c r="J17" s="195"/>
      <c r="K17" s="195"/>
      <c r="L17" s="195"/>
      <c r="M17" s="195"/>
      <c r="N17" s="195"/>
      <c r="O17" s="195"/>
      <c r="P17" s="195"/>
      <c r="Q17" s="195"/>
      <c r="R17" s="195"/>
      <c r="S17" s="195"/>
      <c r="T17" s="195"/>
      <c r="U17" s="195"/>
      <c r="V17" s="195"/>
      <c r="W17" s="195"/>
      <c r="X17" s="195"/>
      <c r="Y17" s="195"/>
      <c r="Z17" s="195"/>
      <c r="AA17" s="196"/>
    </row>
    <row r="18" spans="2:43" ht="4.5" customHeight="1" x14ac:dyDescent="0.35">
      <c r="AB18" s="9"/>
      <c r="AC18" s="9"/>
      <c r="AD18" s="9"/>
      <c r="AE18" s="9"/>
      <c r="AF18" s="9"/>
      <c r="AG18" s="9"/>
      <c r="AH18" s="9"/>
      <c r="AI18" s="9"/>
      <c r="AJ18" s="9"/>
      <c r="AK18" s="9"/>
      <c r="AL18" s="9"/>
      <c r="AM18" s="9"/>
      <c r="AN18" s="9"/>
      <c r="AO18" s="43"/>
      <c r="AP18" s="43"/>
      <c r="AQ18" s="43"/>
    </row>
    <row r="19" spans="2:43" s="9" customFormat="1" ht="24" customHeight="1" x14ac:dyDescent="0.3">
      <c r="B19" s="268"/>
      <c r="C19" s="268"/>
      <c r="D19" s="268"/>
      <c r="E19" s="268"/>
      <c r="F19" s="268"/>
      <c r="G19" s="103" t="s">
        <v>103</v>
      </c>
      <c r="H19" s="104"/>
      <c r="I19" s="104"/>
      <c r="J19" s="104"/>
      <c r="K19" s="104"/>
      <c r="L19" s="104"/>
      <c r="M19" s="104"/>
      <c r="N19" s="104"/>
      <c r="O19" s="104"/>
      <c r="P19" s="104"/>
      <c r="Q19" s="104"/>
      <c r="R19" s="104"/>
      <c r="S19" s="104"/>
      <c r="T19" s="104"/>
      <c r="U19" s="104"/>
      <c r="V19" s="104"/>
      <c r="W19" s="104"/>
      <c r="X19" s="104"/>
      <c r="Y19" s="104"/>
      <c r="Z19" s="104"/>
      <c r="AA19" s="105"/>
      <c r="AB19" s="8"/>
      <c r="AC19" s="8"/>
      <c r="AD19" s="31">
        <f>('DID5259 RPOA Actions'!BI64)</f>
        <v>94000</v>
      </c>
      <c r="AE19" s="31">
        <f>('DID5259 RPOA Actions'!BJ64)</f>
        <v>45500</v>
      </c>
      <c r="AF19" s="31">
        <f>('DID5259 RPOA Actions'!BK64)</f>
        <v>5250</v>
      </c>
      <c r="AG19" s="31">
        <f>('DID5259 RPOA Actions'!BL64)</f>
        <v>144000</v>
      </c>
      <c r="AH19" s="31">
        <f>('DID5259 RPOA Actions'!BM64)</f>
        <v>2100</v>
      </c>
      <c r="AI19" s="49" t="s">
        <v>136</v>
      </c>
      <c r="AJ19" s="269">
        <f>('DID5259 RPOA Actions'!BO64)</f>
        <v>290850</v>
      </c>
      <c r="AK19" s="270"/>
      <c r="AL19" s="270"/>
      <c r="AM19" s="270"/>
      <c r="AN19" s="271"/>
      <c r="AO19" s="262">
        <f>('DID5259 RPOA Actions'!BT64)</f>
        <v>1.1231247465873768</v>
      </c>
      <c r="AP19" s="263"/>
      <c r="AQ19" s="264"/>
    </row>
    <row r="20" spans="2:43" ht="4.5" customHeight="1" x14ac:dyDescent="0.35">
      <c r="AB20" s="9"/>
      <c r="AC20" s="9"/>
      <c r="AD20" s="9"/>
      <c r="AE20" s="9"/>
      <c r="AF20" s="9"/>
      <c r="AG20" s="9"/>
      <c r="AH20" s="9"/>
      <c r="AI20" s="9"/>
      <c r="AJ20" s="9"/>
      <c r="AK20" s="9"/>
      <c r="AL20" s="9"/>
      <c r="AM20" s="9"/>
      <c r="AN20" s="9"/>
      <c r="AO20" s="9"/>
      <c r="AP20" s="9"/>
      <c r="AQ20" s="9"/>
    </row>
    <row r="21" spans="2:43" ht="4.5" customHeight="1" x14ac:dyDescent="0.35">
      <c r="AB21" s="9"/>
      <c r="AC21" s="9"/>
      <c r="AD21" s="9"/>
      <c r="AE21" s="9"/>
      <c r="AF21" s="9"/>
      <c r="AG21" s="9"/>
      <c r="AH21" s="9"/>
      <c r="AI21" s="9"/>
      <c r="AJ21" s="9"/>
      <c r="AK21" s="9"/>
      <c r="AL21" s="9"/>
      <c r="AM21" s="9"/>
      <c r="AN21" s="9"/>
      <c r="AO21" s="9"/>
      <c r="AP21" s="9"/>
      <c r="AQ21" s="9"/>
    </row>
    <row r="22" spans="2:43" s="9" customFormat="1" ht="24" customHeight="1" x14ac:dyDescent="0.35">
      <c r="B22" s="194" t="str">
        <f>('DID5259 RPOA Actions'!B72)</f>
        <v>IV.05</v>
      </c>
      <c r="C22" s="195"/>
      <c r="D22" s="195"/>
      <c r="E22" s="195"/>
      <c r="F22" s="196"/>
      <c r="G22" s="194" t="str">
        <f>('DID5259 RPOA Actions'!G72)</f>
        <v>port State Measures (pSM)</v>
      </c>
      <c r="H22" s="195"/>
      <c r="I22" s="195"/>
      <c r="J22" s="195"/>
      <c r="K22" s="195"/>
      <c r="L22" s="195"/>
      <c r="M22" s="195"/>
      <c r="N22" s="195"/>
      <c r="O22" s="195"/>
      <c r="P22" s="195"/>
      <c r="Q22" s="195"/>
      <c r="R22" s="195"/>
      <c r="S22" s="195"/>
      <c r="T22" s="195"/>
      <c r="U22" s="195"/>
      <c r="V22" s="195"/>
      <c r="W22" s="195"/>
      <c r="X22" s="195"/>
      <c r="Y22" s="195"/>
      <c r="Z22" s="195"/>
      <c r="AA22" s="196"/>
      <c r="AD22" s="26"/>
      <c r="AE22" s="26"/>
      <c r="AF22" s="26"/>
      <c r="AG22" s="26"/>
      <c r="AH22" s="26"/>
      <c r="AI22" s="26"/>
      <c r="AJ22" s="28"/>
      <c r="AK22" s="28"/>
      <c r="AL22" s="28"/>
      <c r="AM22" s="28"/>
      <c r="AN22" s="28"/>
      <c r="AO22" s="28"/>
      <c r="AP22" s="28"/>
      <c r="AQ22" s="28"/>
    </row>
    <row r="23" spans="2:43" ht="4.5" customHeight="1" x14ac:dyDescent="0.35">
      <c r="AB23" s="9"/>
      <c r="AC23" s="9"/>
      <c r="AD23" s="30"/>
      <c r="AE23" s="30"/>
      <c r="AF23" s="30"/>
      <c r="AG23" s="30"/>
      <c r="AH23" s="30"/>
      <c r="AI23" s="30"/>
      <c r="AJ23" s="30"/>
      <c r="AK23" s="30"/>
      <c r="AL23" s="30"/>
      <c r="AM23" s="30"/>
      <c r="AN23" s="30"/>
      <c r="AO23" s="41"/>
      <c r="AP23" s="42"/>
      <c r="AQ23" s="42"/>
    </row>
    <row r="24" spans="2:43" s="9" customFormat="1" ht="24" customHeight="1" x14ac:dyDescent="0.3">
      <c r="B24" s="268"/>
      <c r="C24" s="268"/>
      <c r="D24" s="268"/>
      <c r="E24" s="268"/>
      <c r="F24" s="268"/>
      <c r="G24" s="103" t="str">
        <f>('DID5259 RPOA Actions'!G79)</f>
        <v>Sub-total:</v>
      </c>
      <c r="H24" s="104"/>
      <c r="I24" s="104"/>
      <c r="J24" s="104"/>
      <c r="K24" s="104"/>
      <c r="L24" s="104"/>
      <c r="M24" s="104"/>
      <c r="N24" s="104"/>
      <c r="O24" s="104"/>
      <c r="P24" s="104"/>
      <c r="Q24" s="104"/>
      <c r="R24" s="104"/>
      <c r="S24" s="104"/>
      <c r="T24" s="104"/>
      <c r="U24" s="104"/>
      <c r="V24" s="104"/>
      <c r="W24" s="104"/>
      <c r="X24" s="104"/>
      <c r="Y24" s="104"/>
      <c r="Z24" s="104"/>
      <c r="AA24" s="105"/>
      <c r="AB24" s="8"/>
      <c r="AC24" s="8"/>
      <c r="AD24" s="31">
        <f>('DID5259 RPOA Actions'!BI79)</f>
        <v>176000</v>
      </c>
      <c r="AE24" s="31">
        <f>('DID5259 RPOA Actions'!BJ79)</f>
        <v>21000</v>
      </c>
      <c r="AF24" s="31">
        <f>('DID5259 RPOA Actions'!BK79)</f>
        <v>40250</v>
      </c>
      <c r="AG24" s="31">
        <f>('DID5259 RPOA Actions'!BL79)</f>
        <v>240000</v>
      </c>
      <c r="AH24" s="31">
        <f>('DID5259 RPOA Actions'!BM79)</f>
        <v>7005600</v>
      </c>
      <c r="AI24" s="49" t="s">
        <v>136</v>
      </c>
      <c r="AJ24" s="269">
        <f>('DID5259 RPOA Actions'!BO79)</f>
        <v>7482850</v>
      </c>
      <c r="AK24" s="270"/>
      <c r="AL24" s="270"/>
      <c r="AM24" s="270"/>
      <c r="AN24" s="271"/>
      <c r="AO24" s="262">
        <f>('DID5259 RPOA Actions'!BT79)</f>
        <v>28.895217500434423</v>
      </c>
      <c r="AP24" s="263"/>
      <c r="AQ24" s="264"/>
    </row>
    <row r="25" spans="2:43" ht="4.5" customHeight="1" x14ac:dyDescent="0.35">
      <c r="AB25" s="9"/>
      <c r="AC25" s="9"/>
      <c r="AD25" s="9"/>
      <c r="AE25" s="9"/>
      <c r="AF25" s="9"/>
      <c r="AG25" s="9"/>
      <c r="AH25" s="9"/>
      <c r="AI25" s="9"/>
      <c r="AJ25" s="9"/>
      <c r="AK25" s="9"/>
      <c r="AL25" s="9"/>
      <c r="AM25" s="9"/>
      <c r="AN25" s="9"/>
      <c r="AO25" s="9"/>
      <c r="AP25" s="9"/>
      <c r="AQ25" s="9"/>
    </row>
    <row r="26" spans="2:43" ht="4.5" customHeight="1" x14ac:dyDescent="0.35">
      <c r="AB26" s="9"/>
      <c r="AC26" s="9"/>
      <c r="AD26" s="9"/>
      <c r="AE26" s="9"/>
      <c r="AF26" s="9"/>
      <c r="AG26" s="9"/>
      <c r="AH26" s="9"/>
      <c r="AI26" s="9"/>
      <c r="AJ26" s="9"/>
      <c r="AK26" s="9"/>
      <c r="AL26" s="9"/>
      <c r="AM26" s="9"/>
      <c r="AN26" s="9"/>
      <c r="AO26" s="9"/>
      <c r="AP26" s="9"/>
      <c r="AQ26" s="9"/>
    </row>
    <row r="27" spans="2:43" s="9" customFormat="1" ht="24" customHeight="1" x14ac:dyDescent="0.35">
      <c r="B27" s="194" t="str">
        <f>('DID5259 RPOA Actions'!B82)</f>
        <v>IV.06</v>
      </c>
      <c r="C27" s="195"/>
      <c r="D27" s="195"/>
      <c r="E27" s="195"/>
      <c r="F27" s="196"/>
      <c r="G27" s="194" t="str">
        <f>('DID5259 RPOA Actions'!G82)</f>
        <v>cSM (SPAG)</v>
      </c>
      <c r="H27" s="195"/>
      <c r="I27" s="195"/>
      <c r="J27" s="195"/>
      <c r="K27" s="195"/>
      <c r="L27" s="195"/>
      <c r="M27" s="195"/>
      <c r="N27" s="195"/>
      <c r="O27" s="195"/>
      <c r="P27" s="195"/>
      <c r="Q27" s="195"/>
      <c r="R27" s="195"/>
      <c r="S27" s="195"/>
      <c r="T27" s="195"/>
      <c r="U27" s="195"/>
      <c r="V27" s="195"/>
      <c r="W27" s="195"/>
      <c r="X27" s="195"/>
      <c r="Y27" s="195"/>
      <c r="Z27" s="195"/>
      <c r="AA27" s="196"/>
      <c r="AD27" s="30"/>
      <c r="AE27" s="30"/>
      <c r="AF27" s="30"/>
      <c r="AG27" s="30"/>
      <c r="AH27" s="30"/>
      <c r="AI27" s="30"/>
      <c r="AJ27" s="30"/>
      <c r="AK27" s="30"/>
      <c r="AL27" s="30"/>
      <c r="AM27" s="30"/>
      <c r="AN27" s="30"/>
      <c r="AO27" s="30"/>
      <c r="AP27" s="28"/>
      <c r="AQ27" s="28"/>
    </row>
    <row r="28" spans="2:43" ht="4.5" customHeight="1" x14ac:dyDescent="0.35">
      <c r="AB28" s="9"/>
      <c r="AC28" s="9"/>
      <c r="AD28" s="30"/>
      <c r="AE28" s="30"/>
      <c r="AF28" s="30"/>
      <c r="AG28" s="30"/>
      <c r="AH28" s="30"/>
      <c r="AI28" s="30"/>
      <c r="AJ28" s="30"/>
      <c r="AK28" s="30"/>
      <c r="AL28" s="30"/>
      <c r="AM28" s="30"/>
      <c r="AN28" s="30"/>
      <c r="AO28" s="41"/>
      <c r="AP28" s="42"/>
      <c r="AQ28" s="42"/>
    </row>
    <row r="29" spans="2:43" s="9" customFormat="1" ht="24" customHeight="1" x14ac:dyDescent="0.3">
      <c r="B29" s="268"/>
      <c r="C29" s="268"/>
      <c r="D29" s="268"/>
      <c r="E29" s="268"/>
      <c r="F29" s="268"/>
      <c r="G29" s="103" t="str">
        <f>('DID5259 RPOA Actions'!G89)</f>
        <v>Sub-total</v>
      </c>
      <c r="H29" s="104"/>
      <c r="I29" s="104"/>
      <c r="J29" s="104"/>
      <c r="K29" s="104"/>
      <c r="L29" s="104"/>
      <c r="M29" s="104"/>
      <c r="N29" s="104"/>
      <c r="O29" s="104"/>
      <c r="P29" s="104"/>
      <c r="Q29" s="104"/>
      <c r="R29" s="104"/>
      <c r="S29" s="104"/>
      <c r="T29" s="104"/>
      <c r="U29" s="104"/>
      <c r="V29" s="104"/>
      <c r="W29" s="104"/>
      <c r="X29" s="104"/>
      <c r="Y29" s="104"/>
      <c r="Z29" s="104"/>
      <c r="AA29" s="105"/>
      <c r="AB29" s="8"/>
      <c r="AC29" s="8"/>
      <c r="AD29" s="31">
        <f>('DID5259 RPOA Actions'!BI89)</f>
        <v>103000</v>
      </c>
      <c r="AE29" s="31">
        <f>('DID5259 RPOA Actions'!BJ89)</f>
        <v>18000</v>
      </c>
      <c r="AF29" s="31">
        <f>('DID5259 RPOA Actions'!BK89)</f>
        <v>71750</v>
      </c>
      <c r="AG29" s="31">
        <f>('DID5259 RPOA Actions'!BL89)</f>
        <v>69000</v>
      </c>
      <c r="AH29" s="31">
        <f>('DID5259 RPOA Actions'!BM89)</f>
        <v>354200</v>
      </c>
      <c r="AI29" s="49" t="s">
        <v>136</v>
      </c>
      <c r="AJ29" s="269">
        <f>('DID5259 RPOA Actions'!BO89)</f>
        <v>615950</v>
      </c>
      <c r="AK29" s="270"/>
      <c r="AL29" s="270"/>
      <c r="AM29" s="270"/>
      <c r="AN29" s="271"/>
      <c r="AO29" s="262">
        <f>('DID5259 RPOA Actions'!BT89)</f>
        <v>2.3785067480161413</v>
      </c>
      <c r="AP29" s="263"/>
      <c r="AQ29" s="264"/>
    </row>
    <row r="30" spans="2:43" ht="4.5" customHeight="1" x14ac:dyDescent="0.35">
      <c r="AB30" s="9"/>
      <c r="AC30" s="9"/>
      <c r="AD30" s="9"/>
      <c r="AE30" s="9"/>
      <c r="AF30" s="9"/>
      <c r="AG30" s="9"/>
      <c r="AH30" s="9"/>
      <c r="AI30" s="9"/>
      <c r="AJ30" s="9"/>
      <c r="AK30" s="9"/>
      <c r="AL30" s="9"/>
      <c r="AM30" s="9"/>
      <c r="AN30" s="9"/>
      <c r="AO30" s="9"/>
      <c r="AP30" s="9"/>
      <c r="AQ30" s="9"/>
    </row>
    <row r="31" spans="2:43" s="9" customFormat="1" ht="24" customHeight="1" x14ac:dyDescent="0.35">
      <c r="B31" s="194" t="str">
        <f>('DID5259 RPOA Actions'!B97)</f>
        <v>IV.07</v>
      </c>
      <c r="C31" s="195"/>
      <c r="D31" s="195"/>
      <c r="E31" s="195"/>
      <c r="F31" s="196"/>
      <c r="G31" s="194" t="str">
        <f>('DID5259 RPOA Actions'!G97)</f>
        <v>cSM (Stakeholder Fish Licence)</v>
      </c>
      <c r="H31" s="195"/>
      <c r="I31" s="195"/>
      <c r="J31" s="195"/>
      <c r="K31" s="195"/>
      <c r="L31" s="195"/>
      <c r="M31" s="195"/>
      <c r="N31" s="195"/>
      <c r="O31" s="195"/>
      <c r="P31" s="195"/>
      <c r="Q31" s="195"/>
      <c r="R31" s="195"/>
      <c r="S31" s="195"/>
      <c r="T31" s="195"/>
      <c r="U31" s="195"/>
      <c r="V31" s="195"/>
      <c r="W31" s="195"/>
      <c r="X31" s="195"/>
      <c r="Y31" s="195"/>
      <c r="Z31" s="195"/>
      <c r="AA31" s="196"/>
      <c r="AD31" s="30"/>
      <c r="AE31" s="30"/>
      <c r="AF31" s="30"/>
      <c r="AG31" s="30"/>
      <c r="AH31" s="30"/>
      <c r="AI31" s="30"/>
      <c r="AJ31" s="28"/>
      <c r="AK31" s="28"/>
      <c r="AL31" s="28"/>
      <c r="AM31" s="28"/>
      <c r="AN31" s="28"/>
      <c r="AO31" s="28"/>
      <c r="AP31" s="27"/>
      <c r="AQ31" s="27"/>
    </row>
    <row r="32" spans="2:43" ht="4.5" customHeight="1" x14ac:dyDescent="0.35">
      <c r="AB32" s="9"/>
      <c r="AC32" s="9"/>
      <c r="AD32" s="30"/>
      <c r="AE32" s="30"/>
      <c r="AF32" s="30"/>
      <c r="AG32" s="30"/>
      <c r="AH32" s="30"/>
      <c r="AI32" s="30"/>
      <c r="AJ32" s="28"/>
      <c r="AK32" s="28"/>
      <c r="AL32" s="28"/>
      <c r="AM32" s="28"/>
      <c r="AN32" s="28"/>
      <c r="AO32" s="42"/>
      <c r="AP32" s="44"/>
      <c r="AQ32" s="44"/>
    </row>
    <row r="33" spans="2:43" s="9" customFormat="1" ht="24" customHeight="1" x14ac:dyDescent="0.3">
      <c r="B33" s="268"/>
      <c r="C33" s="268"/>
      <c r="D33" s="268"/>
      <c r="E33" s="268"/>
      <c r="F33" s="268"/>
      <c r="G33" s="103" t="str">
        <f>('DID5259 RPOA Actions'!G103)</f>
        <v>Sub-total:</v>
      </c>
      <c r="H33" s="104"/>
      <c r="I33" s="104"/>
      <c r="J33" s="104"/>
      <c r="K33" s="104"/>
      <c r="L33" s="104"/>
      <c r="M33" s="104"/>
      <c r="N33" s="104"/>
      <c r="O33" s="104"/>
      <c r="P33" s="104"/>
      <c r="Q33" s="104"/>
      <c r="R33" s="104"/>
      <c r="S33" s="104"/>
      <c r="T33" s="104"/>
      <c r="U33" s="104"/>
      <c r="V33" s="104"/>
      <c r="W33" s="104"/>
      <c r="X33" s="104"/>
      <c r="Y33" s="104"/>
      <c r="Z33" s="104"/>
      <c r="AA33" s="105"/>
      <c r="AB33" s="8"/>
      <c r="AC33" s="8"/>
      <c r="AD33" s="31">
        <f>('DID5259 RPOA Actions'!BI103)</f>
        <v>44000</v>
      </c>
      <c r="AE33" s="31">
        <f>('DID5259 RPOA Actions'!BJ103)</f>
        <v>11500</v>
      </c>
      <c r="AF33" s="31">
        <f>('DID5259 RPOA Actions'!BK103)</f>
        <v>0</v>
      </c>
      <c r="AG33" s="31">
        <f>('DID5259 RPOA Actions'!BL103)</f>
        <v>96000</v>
      </c>
      <c r="AH33" s="31">
        <f>('DID5259 RPOA Actions'!BM103)</f>
        <v>7000</v>
      </c>
      <c r="AI33" s="49" t="s">
        <v>136</v>
      </c>
      <c r="AJ33" s="269">
        <f>('DID5259 RPOA Actions'!BO103)</f>
        <v>158500</v>
      </c>
      <c r="AK33" s="270"/>
      <c r="AL33" s="270"/>
      <c r="AM33" s="270"/>
      <c r="AN33" s="271"/>
      <c r="AO33" s="262">
        <f>('DID5259 RPOA Actions'!BT103)</f>
        <v>0.6120518216747437</v>
      </c>
      <c r="AP33" s="263"/>
      <c r="AQ33" s="264"/>
    </row>
    <row r="34" spans="2:43" ht="4.5" customHeight="1" x14ac:dyDescent="0.35">
      <c r="AB34" s="9"/>
      <c r="AC34" s="9"/>
      <c r="AD34" s="9"/>
      <c r="AE34" s="9"/>
      <c r="AF34" s="9"/>
      <c r="AG34" s="9"/>
      <c r="AH34" s="9"/>
      <c r="AI34" s="9"/>
      <c r="AJ34" s="9"/>
      <c r="AK34" s="9"/>
      <c r="AL34" s="9"/>
      <c r="AM34" s="9"/>
      <c r="AN34" s="9"/>
      <c r="AO34" s="9"/>
      <c r="AP34" s="9"/>
      <c r="AQ34" s="9"/>
    </row>
    <row r="35" spans="2:43" ht="4.5" customHeight="1" x14ac:dyDescent="0.35">
      <c r="AB35" s="9"/>
      <c r="AC35" s="9"/>
      <c r="AD35" s="9"/>
      <c r="AE35" s="9"/>
      <c r="AF35" s="9"/>
      <c r="AG35" s="9"/>
      <c r="AH35" s="9"/>
      <c r="AI35" s="9"/>
      <c r="AJ35" s="9"/>
      <c r="AK35" s="9"/>
      <c r="AL35" s="9"/>
      <c r="AM35" s="9"/>
      <c r="AN35" s="9"/>
      <c r="AO35" s="9"/>
      <c r="AP35" s="9"/>
      <c r="AQ35" s="9"/>
    </row>
    <row r="36" spans="2:43" s="9" customFormat="1" ht="24" customHeight="1" x14ac:dyDescent="0.35">
      <c r="B36" s="194" t="str">
        <f>('DID5259 RPOA Actions'!B106)</f>
        <v>IV.08</v>
      </c>
      <c r="C36" s="195"/>
      <c r="D36" s="195"/>
      <c r="E36" s="195"/>
      <c r="F36" s="196"/>
      <c r="G36" s="194" t="str">
        <f>('DID5259 RPOA Actions'!G106)</f>
        <v>fSR (Vessel Fishing License)</v>
      </c>
      <c r="H36" s="195"/>
      <c r="I36" s="195"/>
      <c r="J36" s="195"/>
      <c r="K36" s="195"/>
      <c r="L36" s="195"/>
      <c r="M36" s="195"/>
      <c r="N36" s="195"/>
      <c r="O36" s="195"/>
      <c r="P36" s="195"/>
      <c r="Q36" s="195"/>
      <c r="R36" s="195"/>
      <c r="S36" s="195"/>
      <c r="T36" s="195"/>
      <c r="U36" s="195"/>
      <c r="V36" s="195"/>
      <c r="W36" s="195"/>
      <c r="X36" s="195"/>
      <c r="Y36" s="195"/>
      <c r="Z36" s="195"/>
      <c r="AA36" s="196"/>
      <c r="AD36" s="30"/>
      <c r="AE36" s="30"/>
      <c r="AF36" s="30"/>
      <c r="AG36" s="30"/>
      <c r="AH36" s="30"/>
      <c r="AI36" s="30"/>
      <c r="AJ36" s="28"/>
      <c r="AK36" s="28"/>
      <c r="AL36" s="28"/>
      <c r="AM36" s="28"/>
      <c r="AN36" s="28"/>
      <c r="AO36" s="28"/>
      <c r="AP36" s="28"/>
      <c r="AQ36" s="28"/>
    </row>
    <row r="37" spans="2:43" ht="4.5" customHeight="1" x14ac:dyDescent="0.35">
      <c r="AB37" s="9"/>
      <c r="AC37" s="9"/>
      <c r="AD37" s="30"/>
      <c r="AE37" s="30"/>
      <c r="AF37" s="30"/>
      <c r="AG37" s="30"/>
      <c r="AH37" s="30"/>
      <c r="AI37" s="30"/>
      <c r="AJ37" s="28"/>
      <c r="AK37" s="28"/>
      <c r="AL37" s="28"/>
      <c r="AM37" s="28"/>
      <c r="AN37" s="28"/>
      <c r="AO37" s="42"/>
      <c r="AP37" s="44"/>
      <c r="AQ37" s="44"/>
    </row>
    <row r="38" spans="2:43" s="9" customFormat="1" ht="24" customHeight="1" x14ac:dyDescent="0.3">
      <c r="B38" s="268"/>
      <c r="C38" s="268"/>
      <c r="D38" s="268"/>
      <c r="E38" s="268"/>
      <c r="F38" s="268"/>
      <c r="G38" s="103" t="str">
        <f>('DID5259 RPOA Actions'!G112)</f>
        <v>Sub-total:</v>
      </c>
      <c r="H38" s="104"/>
      <c r="I38" s="104"/>
      <c r="J38" s="104"/>
      <c r="K38" s="104"/>
      <c r="L38" s="104"/>
      <c r="M38" s="104"/>
      <c r="N38" s="104"/>
      <c r="O38" s="104"/>
      <c r="P38" s="104"/>
      <c r="Q38" s="104"/>
      <c r="R38" s="104"/>
      <c r="S38" s="104"/>
      <c r="T38" s="104"/>
      <c r="U38" s="104"/>
      <c r="V38" s="104"/>
      <c r="W38" s="104"/>
      <c r="X38" s="104"/>
      <c r="Y38" s="104"/>
      <c r="Z38" s="104"/>
      <c r="AA38" s="105"/>
      <c r="AB38" s="8"/>
      <c r="AC38" s="8"/>
      <c r="AD38" s="31">
        <f>('DID5259 RPOA Actions'!BI112)</f>
        <v>44000</v>
      </c>
      <c r="AE38" s="31">
        <f>('DID5259 RPOA Actions'!BJ112)</f>
        <v>11500</v>
      </c>
      <c r="AF38" s="31">
        <f>('DID5259 RPOA Actions'!BK112)</f>
        <v>0</v>
      </c>
      <c r="AG38" s="31">
        <f>('DID5259 RPOA Actions'!BL112)</f>
        <v>96000</v>
      </c>
      <c r="AH38" s="31">
        <f>('DID5259 RPOA Actions'!BM112)</f>
        <v>7000</v>
      </c>
      <c r="AI38" s="49" t="s">
        <v>136</v>
      </c>
      <c r="AJ38" s="269">
        <f>('DID5259 RPOA Actions'!BO112)</f>
        <v>158500</v>
      </c>
      <c r="AK38" s="270"/>
      <c r="AL38" s="270"/>
      <c r="AM38" s="270"/>
      <c r="AN38" s="271"/>
      <c r="AO38" s="262">
        <f>('DID5259 RPOA Actions'!BT112)</f>
        <v>0.6120518216747437</v>
      </c>
      <c r="AP38" s="263"/>
      <c r="AQ38" s="264"/>
    </row>
    <row r="39" spans="2:43" ht="4.5" customHeight="1" x14ac:dyDescent="0.35">
      <c r="AB39" s="9"/>
      <c r="AC39" s="9"/>
      <c r="AD39" s="26"/>
      <c r="AE39" s="26"/>
      <c r="AF39" s="26"/>
      <c r="AG39" s="26"/>
      <c r="AH39" s="26"/>
      <c r="AI39" s="26"/>
      <c r="AJ39" s="28"/>
      <c r="AK39" s="28"/>
      <c r="AL39" s="28"/>
      <c r="AM39" s="28"/>
      <c r="AN39" s="28"/>
      <c r="AO39" s="42"/>
      <c r="AP39" s="42"/>
      <c r="AQ39" s="42"/>
    </row>
    <row r="40" spans="2:43" ht="4.5" customHeight="1" x14ac:dyDescent="0.35">
      <c r="AB40" s="9"/>
      <c r="AC40" s="9"/>
      <c r="AD40" s="26"/>
      <c r="AE40" s="26"/>
      <c r="AF40" s="26"/>
      <c r="AG40" s="26"/>
      <c r="AH40" s="26"/>
      <c r="AI40" s="26"/>
      <c r="AJ40" s="28"/>
      <c r="AK40" s="28"/>
      <c r="AL40" s="28"/>
      <c r="AM40" s="28"/>
      <c r="AN40" s="28"/>
      <c r="AO40" s="42"/>
      <c r="AP40" s="42"/>
      <c r="AQ40" s="42"/>
    </row>
    <row r="41" spans="2:43" s="9" customFormat="1" ht="24" customHeight="1" x14ac:dyDescent="0.35">
      <c r="B41" s="103" t="str">
        <f>('DID5259 RPOA Actions'!B115)</f>
        <v>Total:</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5"/>
      <c r="AB41" s="8"/>
      <c r="AC41" s="8"/>
      <c r="AD41" s="31">
        <f>('DID5259 RPOA Actions'!BI115)</f>
        <v>1913000</v>
      </c>
      <c r="AE41" s="31">
        <f>('DID5259 RPOA Actions'!BJ115)</f>
        <v>238500</v>
      </c>
      <c r="AF41" s="31">
        <f>('DID5259 RPOA Actions'!BK115)</f>
        <v>2179000</v>
      </c>
      <c r="AG41" s="31">
        <f>('DID5259 RPOA Actions'!BL115)</f>
        <v>1929000</v>
      </c>
      <c r="AH41" s="31">
        <f>('DID5259 RPOA Actions'!BM115)</f>
        <v>10726000</v>
      </c>
      <c r="AI41" s="31">
        <f>('DID5259 RPOA Actions'!BN115)</f>
        <v>1512000</v>
      </c>
      <c r="AJ41" s="269">
        <f>('DID5259 RPOA Actions'!BO115)</f>
        <v>18497500</v>
      </c>
      <c r="AK41" s="270"/>
      <c r="AL41" s="270"/>
      <c r="AM41" s="270"/>
      <c r="AN41" s="271"/>
      <c r="AO41" s="262">
        <f>('DID5259 RPOA Actions'!BT115)</f>
        <v>71.428571428571431</v>
      </c>
      <c r="AP41" s="263"/>
      <c r="AQ41" s="264"/>
    </row>
    <row r="42" spans="2:43" ht="4.5" customHeight="1" x14ac:dyDescent="0.35">
      <c r="AB42" s="9"/>
      <c r="AC42" s="9"/>
      <c r="AD42" s="26"/>
      <c r="AE42" s="26"/>
      <c r="AF42" s="26"/>
      <c r="AG42" s="26"/>
      <c r="AH42" s="26"/>
      <c r="AI42" s="26"/>
      <c r="AJ42" s="28"/>
      <c r="AK42" s="28"/>
      <c r="AL42" s="28"/>
      <c r="AM42" s="28"/>
      <c r="AN42" s="28"/>
      <c r="AO42" s="42"/>
      <c r="AP42" s="42"/>
      <c r="AQ42" s="42"/>
    </row>
    <row r="43" spans="2:43" s="9" customFormat="1" ht="24" customHeight="1" x14ac:dyDescent="0.35">
      <c r="B43" s="103" t="str">
        <f>('DID5259 RPOA Actions'!B117)</f>
        <v>Contingency @ 10%</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5"/>
      <c r="AB43" s="8"/>
      <c r="AC43" s="8"/>
      <c r="AD43" s="30"/>
      <c r="AE43" s="30"/>
      <c r="AF43" s="30"/>
      <c r="AG43" s="30"/>
      <c r="AH43" s="30"/>
      <c r="AI43" s="40"/>
      <c r="AJ43" s="270">
        <f>('DID5259 RPOA Actions'!BO117)</f>
        <v>1849750</v>
      </c>
      <c r="AK43" s="270"/>
      <c r="AL43" s="270"/>
      <c r="AM43" s="270"/>
      <c r="AN43" s="271"/>
      <c r="AO43" s="262">
        <f>('DID5259 RPOA Actions'!BT117)</f>
        <v>7.1428571428571432</v>
      </c>
      <c r="AP43" s="263"/>
      <c r="AQ43" s="264"/>
    </row>
    <row r="44" spans="2:43" ht="4.5" customHeight="1" x14ac:dyDescent="0.35">
      <c r="AB44" s="9"/>
      <c r="AC44" s="9"/>
      <c r="AD44" s="26"/>
      <c r="AE44" s="26"/>
      <c r="AF44" s="26"/>
      <c r="AG44" s="26"/>
      <c r="AH44" s="26"/>
      <c r="AI44" s="26"/>
      <c r="AJ44" s="28"/>
      <c r="AK44" s="28"/>
      <c r="AL44" s="28"/>
      <c r="AM44" s="28"/>
      <c r="AN44" s="28"/>
      <c r="AO44" s="42"/>
      <c r="AP44" s="42"/>
      <c r="AQ44" s="42"/>
    </row>
    <row r="45" spans="2:43" s="9" customFormat="1" ht="24" customHeight="1" x14ac:dyDescent="0.35">
      <c r="B45" s="272" t="str">
        <f>('DID5259 RPOA Actions'!B119)</f>
        <v>Overhead @ 30%</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5"/>
      <c r="AB45" s="8"/>
      <c r="AC45" s="8"/>
      <c r="AD45" s="30"/>
      <c r="AE45" s="30"/>
      <c r="AF45" s="30"/>
      <c r="AG45" s="30"/>
      <c r="AH45" s="30"/>
      <c r="AI45" s="40"/>
      <c r="AJ45" s="270">
        <f>('DID5259 RPOA Actions'!BO119)</f>
        <v>5549250</v>
      </c>
      <c r="AK45" s="270"/>
      <c r="AL45" s="270"/>
      <c r="AM45" s="270"/>
      <c r="AN45" s="271"/>
      <c r="AO45" s="262">
        <f>('DID5259 RPOA Actions'!BT119)</f>
        <v>21.428571428571431</v>
      </c>
      <c r="AP45" s="263"/>
      <c r="AQ45" s="264"/>
    </row>
    <row r="46" spans="2:43" ht="4.5" customHeight="1" x14ac:dyDescent="0.35">
      <c r="AB46" s="9"/>
      <c r="AC46" s="9"/>
      <c r="AD46" s="26"/>
      <c r="AE46" s="26"/>
      <c r="AF46" s="26"/>
      <c r="AG46" s="26"/>
      <c r="AH46" s="26"/>
      <c r="AI46" s="26"/>
      <c r="AJ46" s="28"/>
      <c r="AK46" s="28"/>
      <c r="AL46" s="28"/>
      <c r="AM46" s="28"/>
      <c r="AN46" s="28"/>
      <c r="AO46" s="42"/>
      <c r="AP46" s="42"/>
      <c r="AQ46" s="42"/>
    </row>
    <row r="47" spans="2:43" s="9" customFormat="1" ht="24" customHeight="1" x14ac:dyDescent="0.35">
      <c r="B47" s="103" t="str">
        <f>('DID5259 RPOA Actions'!B121)</f>
        <v>Total including contingency &amp; overhead</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5"/>
      <c r="AB47" s="8"/>
      <c r="AC47" s="8"/>
      <c r="AD47" s="30"/>
      <c r="AE47" s="30"/>
      <c r="AF47" s="30"/>
      <c r="AG47" s="30"/>
      <c r="AH47" s="30"/>
      <c r="AI47" s="40"/>
      <c r="AJ47" s="270">
        <f>('DID5259 RPOA Actions'!BO121)</f>
        <v>25896500</v>
      </c>
      <c r="AK47" s="270"/>
      <c r="AL47" s="270"/>
      <c r="AM47" s="270"/>
      <c r="AN47" s="271"/>
      <c r="AO47" s="269">
        <f>('DID5259 RPOA Actions'!BT121)</f>
        <v>100</v>
      </c>
      <c r="AP47" s="270"/>
      <c r="AQ47" s="271"/>
    </row>
    <row r="48" spans="2:43" ht="9.5" customHeight="1" x14ac:dyDescent="0.35">
      <c r="AB48" s="9"/>
      <c r="AC48" s="9"/>
      <c r="AD48" s="9"/>
      <c r="AE48" s="9"/>
      <c r="AF48" s="9"/>
      <c r="AG48" s="9"/>
      <c r="AH48" s="9"/>
      <c r="AI48" s="9"/>
      <c r="AJ48" s="9"/>
      <c r="AK48" s="9"/>
      <c r="AL48" s="9"/>
      <c r="AM48" s="9"/>
      <c r="AN48" s="9"/>
      <c r="AO48" s="9"/>
      <c r="AP48" s="9"/>
      <c r="AQ48" s="9"/>
    </row>
    <row r="49" spans="2:43" s="9" customFormat="1" ht="24" customHeight="1" x14ac:dyDescent="0.35">
      <c r="B49" s="103" t="str">
        <f>('DID5259 RPOA Actions'!B123)</f>
        <v>Total %</v>
      </c>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5"/>
      <c r="AB49" s="8"/>
      <c r="AC49" s="8"/>
      <c r="AD49" s="303">
        <f>('DID5259 RPOA Actions'!BI123)</f>
        <v>10.341938099743208</v>
      </c>
      <c r="AE49" s="303">
        <f>('DID5259 RPOA Actions'!BJ123)</f>
        <v>1.2893634274902015</v>
      </c>
      <c r="AF49" s="303">
        <f>('DID5259 RPOA Actions'!BK123)</f>
        <v>11.779970266252196</v>
      </c>
      <c r="AG49" s="303">
        <f>('DID5259 RPOA Actions'!BL123)</f>
        <v>10.42843627517232</v>
      </c>
      <c r="AH49" s="303">
        <f>('DID5259 RPOA Actions'!BM123)</f>
        <v>57.98621435329099</v>
      </c>
      <c r="AI49" s="303">
        <f>('DID5259 RPOA Actions'!BN123)</f>
        <v>8.1740775780510884</v>
      </c>
      <c r="AJ49" s="273"/>
      <c r="AK49" s="274"/>
      <c r="AL49" s="274"/>
      <c r="AM49" s="274"/>
      <c r="AN49" s="275"/>
      <c r="AO49" s="269">
        <f>('DID5259 RPOA Actions'!BT123)</f>
        <v>100</v>
      </c>
      <c r="AP49" s="270"/>
      <c r="AQ49" s="271"/>
    </row>
    <row r="50" spans="2:43" ht="9.5" customHeight="1" x14ac:dyDescent="0.35">
      <c r="AB50" s="9"/>
      <c r="AC50" s="9"/>
      <c r="AD50" s="9"/>
      <c r="AE50" s="9"/>
      <c r="AF50" s="9"/>
      <c r="AG50" s="9"/>
      <c r="AH50" s="9"/>
      <c r="AI50" s="9"/>
      <c r="AJ50" s="9"/>
      <c r="AK50" s="9"/>
      <c r="AL50" s="9"/>
      <c r="AM50" s="9"/>
      <c r="AN50" s="9"/>
      <c r="AO50" s="9"/>
      <c r="AP50" s="9"/>
      <c r="AQ50" s="9"/>
    </row>
    <row r="51" spans="2:43" ht="14.5" customHeight="1" x14ac:dyDescent="0.35"/>
    <row r="52" spans="2:43" ht="14.5" customHeight="1" x14ac:dyDescent="0.35"/>
    <row r="53" spans="2:43" ht="14.5" customHeight="1" x14ac:dyDescent="0.35"/>
    <row r="54" spans="2:43" ht="14.5" customHeight="1" x14ac:dyDescent="0.35"/>
    <row r="55" spans="2:43" ht="14.5" customHeight="1" x14ac:dyDescent="0.35"/>
    <row r="56" spans="2:43" ht="14.5" customHeight="1" x14ac:dyDescent="0.35"/>
    <row r="57" spans="2:43" ht="14.5" customHeight="1" x14ac:dyDescent="0.35"/>
    <row r="58" spans="2:43" ht="14.5" customHeight="1" x14ac:dyDescent="0.35"/>
    <row r="59" spans="2:43" ht="14.5" customHeight="1" x14ac:dyDescent="0.35"/>
    <row r="60" spans="2:43" ht="14.5" customHeight="1" x14ac:dyDescent="0.35"/>
    <row r="61" spans="2:43" ht="14.5" customHeight="1" x14ac:dyDescent="0.35"/>
    <row r="62" spans="2:43" ht="14.5" customHeight="1" x14ac:dyDescent="0.35"/>
    <row r="63" spans="2:43" ht="14.5" customHeight="1" x14ac:dyDescent="0.35"/>
    <row r="64" spans="2:43"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sheetData>
  <sheetProtection sheet="1" objects="1" scenarios="1"/>
  <mergeCells count="69">
    <mergeCell ref="AO49:AQ49"/>
    <mergeCell ref="AJ47:AN47"/>
    <mergeCell ref="AO47:AQ47"/>
    <mergeCell ref="AJ45:AN45"/>
    <mergeCell ref="AO45:AQ45"/>
    <mergeCell ref="AJ49:AN49"/>
    <mergeCell ref="AO43:AQ43"/>
    <mergeCell ref="AJ41:AN41"/>
    <mergeCell ref="AO41:AQ41"/>
    <mergeCell ref="B38:F38"/>
    <mergeCell ref="G38:AA38"/>
    <mergeCell ref="AJ38:AN38"/>
    <mergeCell ref="AO38:AQ38"/>
    <mergeCell ref="B41:AA41"/>
    <mergeCell ref="B43:AA43"/>
    <mergeCell ref="AJ43:AN43"/>
    <mergeCell ref="B36:F36"/>
    <mergeCell ref="G36:AA36"/>
    <mergeCell ref="B49:AA49"/>
    <mergeCell ref="B33:F33"/>
    <mergeCell ref="G33:AA33"/>
    <mergeCell ref="B45:AA45"/>
    <mergeCell ref="B47:AA47"/>
    <mergeCell ref="AJ33:AN33"/>
    <mergeCell ref="AO33:AQ33"/>
    <mergeCell ref="B31:F31"/>
    <mergeCell ref="G31:AA31"/>
    <mergeCell ref="B29:F29"/>
    <mergeCell ref="G29:AA29"/>
    <mergeCell ref="AJ29:AN29"/>
    <mergeCell ref="AO29:AQ29"/>
    <mergeCell ref="B27:F27"/>
    <mergeCell ref="G27:AA27"/>
    <mergeCell ref="B24:F24"/>
    <mergeCell ref="G24:AA24"/>
    <mergeCell ref="AJ24:AN24"/>
    <mergeCell ref="AO24:AQ24"/>
    <mergeCell ref="B22:F22"/>
    <mergeCell ref="G22:AA22"/>
    <mergeCell ref="B19:F19"/>
    <mergeCell ref="G19:AA19"/>
    <mergeCell ref="AJ19:AN19"/>
    <mergeCell ref="AO19:AQ19"/>
    <mergeCell ref="B17:F17"/>
    <mergeCell ref="G17:AA17"/>
    <mergeCell ref="B14:F14"/>
    <mergeCell ref="G14:AA14"/>
    <mergeCell ref="AJ14:AN14"/>
    <mergeCell ref="AO14:AQ14"/>
    <mergeCell ref="B12:F12"/>
    <mergeCell ref="G12:AA12"/>
    <mergeCell ref="AO9:AQ9"/>
    <mergeCell ref="B9:F9"/>
    <mergeCell ref="G9:AA9"/>
    <mergeCell ref="AJ9:AN9"/>
    <mergeCell ref="B7:F7"/>
    <mergeCell ref="G7:AA7"/>
    <mergeCell ref="AD3:AN3"/>
    <mergeCell ref="AO3:AQ5"/>
    <mergeCell ref="AD4:AD5"/>
    <mergeCell ref="AE4:AE5"/>
    <mergeCell ref="AF4:AF5"/>
    <mergeCell ref="AG4:AG5"/>
    <mergeCell ref="B2:F5"/>
    <mergeCell ref="G2:AA5"/>
    <mergeCell ref="AD2:AQ2"/>
    <mergeCell ref="AH4:AH5"/>
    <mergeCell ref="AI4:AI5"/>
    <mergeCell ref="AJ4:AN5"/>
  </mergeCells>
  <pageMargins left="0.7" right="0.7" top="0.75" bottom="0.75" header="0.3" footer="0.3"/>
  <pageSetup paperSize="9" scale="37" orientation="portrait" horizontalDpi="4294967293" verticalDpi="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D3156-4A12-47CB-ACA6-289947FC8622}">
  <dimension ref="A1:CM246"/>
  <sheetViews>
    <sheetView zoomScale="65" zoomScaleNormal="65" zoomScaleSheetLayoutView="70" workbookViewId="0">
      <selection activeCell="AS29" sqref="AS29:AU29"/>
    </sheetView>
  </sheetViews>
  <sheetFormatPr defaultColWidth="8.7265625" defaultRowHeight="15.5" x14ac:dyDescent="0.35"/>
  <cols>
    <col min="1" max="1" width="1.08984375" style="50" customWidth="1"/>
    <col min="2" max="25" width="2.08984375" style="50" customWidth="1"/>
    <col min="26" max="26" width="0.90625" style="50" customWidth="1"/>
    <col min="27" max="30" width="2.08984375" style="50" customWidth="1"/>
    <col min="31" max="31" width="1.08984375" style="50" customWidth="1"/>
    <col min="32" max="34" width="2.08984375" style="50" customWidth="1"/>
    <col min="35" max="35" width="1.08984375" style="50" customWidth="1"/>
    <col min="36" max="50" width="2.08984375" style="50" customWidth="1"/>
    <col min="51" max="51" width="0.90625" style="50" customWidth="1"/>
    <col min="52" max="59" width="5.6328125" style="50" customWidth="1"/>
    <col min="60" max="60" width="1" style="50" customWidth="1"/>
    <col min="61" max="66" width="9.6328125" style="50" customWidth="1"/>
    <col min="67" max="74" width="2.08984375" style="50" customWidth="1"/>
    <col min="75" max="75" width="1" style="50" customWidth="1"/>
    <col min="76" max="85" width="2.1796875" style="50" customWidth="1"/>
    <col min="86" max="86" width="2.08984375" style="50" customWidth="1"/>
    <col min="87" max="87" width="1.36328125" style="50" customWidth="1"/>
    <col min="88" max="89" width="8.7265625" style="50"/>
    <col min="90" max="90" width="8.7265625" style="50" customWidth="1"/>
    <col min="91" max="16384" width="8.7265625" style="50"/>
  </cols>
  <sheetData>
    <row r="1" spans="1:91" s="1" customFormat="1" ht="7.5" customHeight="1" x14ac:dyDescent="0.35"/>
    <row r="2" spans="1:91" s="1" customFormat="1" ht="15.5" customHeight="1" x14ac:dyDescent="0.35">
      <c r="B2" s="121" t="s">
        <v>149</v>
      </c>
      <c r="C2" s="122"/>
      <c r="D2" s="122"/>
      <c r="E2" s="122"/>
      <c r="F2" s="122"/>
      <c r="G2" s="122"/>
      <c r="H2" s="123"/>
      <c r="I2" s="276"/>
      <c r="J2" s="277"/>
      <c r="K2" s="277"/>
      <c r="L2" s="277"/>
      <c r="M2" s="277"/>
      <c r="N2" s="277"/>
      <c r="O2" s="277"/>
      <c r="P2" s="277"/>
      <c r="Q2" s="277"/>
      <c r="R2" s="277"/>
      <c r="S2" s="277"/>
      <c r="T2" s="277"/>
      <c r="U2" s="277"/>
      <c r="V2" s="277"/>
      <c r="W2" s="277"/>
      <c r="X2" s="277"/>
      <c r="Y2" s="278"/>
      <c r="AB2" s="121" t="s">
        <v>148</v>
      </c>
      <c r="AC2" s="122"/>
      <c r="AD2" s="122"/>
      <c r="AE2" s="122"/>
      <c r="AF2" s="122"/>
      <c r="AG2" s="122"/>
      <c r="AH2" s="122"/>
      <c r="AI2" s="122"/>
      <c r="AJ2" s="122"/>
      <c r="AK2" s="122"/>
      <c r="AL2" s="122"/>
      <c r="AM2" s="123"/>
      <c r="AN2" s="276"/>
      <c r="AO2" s="277"/>
      <c r="AP2" s="277"/>
      <c r="AQ2" s="277"/>
      <c r="AR2" s="277"/>
      <c r="AS2" s="277"/>
      <c r="AT2" s="277"/>
      <c r="AU2" s="277"/>
      <c r="AV2" s="277"/>
      <c r="AW2" s="277"/>
      <c r="AX2" s="277"/>
      <c r="AY2" s="277"/>
      <c r="AZ2" s="277"/>
      <c r="BA2" s="278"/>
      <c r="BC2" s="149" t="s">
        <v>150</v>
      </c>
      <c r="BD2" s="150"/>
      <c r="BE2" s="150"/>
      <c r="BF2" s="151"/>
      <c r="BG2" s="276"/>
      <c r="BH2" s="277"/>
      <c r="BI2" s="278"/>
      <c r="BK2" s="149" t="s">
        <v>151</v>
      </c>
      <c r="BL2" s="150"/>
      <c r="BM2" s="151"/>
      <c r="BN2" s="285"/>
      <c r="BO2" s="286"/>
      <c r="BP2" s="286"/>
      <c r="BQ2" s="286"/>
      <c r="BR2" s="287"/>
      <c r="BU2" s="149" t="s">
        <v>152</v>
      </c>
      <c r="BV2" s="150"/>
      <c r="BW2" s="150"/>
      <c r="BX2" s="150"/>
      <c r="BY2" s="150"/>
      <c r="BZ2" s="150"/>
      <c r="CA2" s="150"/>
      <c r="CB2" s="150"/>
      <c r="CC2" s="150"/>
      <c r="CD2" s="150"/>
      <c r="CE2" s="150"/>
      <c r="CF2" s="150"/>
      <c r="CG2" s="151"/>
    </row>
    <row r="3" spans="1:91" s="1" customFormat="1" ht="15.5" customHeight="1" x14ac:dyDescent="0.35">
      <c r="B3" s="124"/>
      <c r="C3" s="125"/>
      <c r="D3" s="125"/>
      <c r="E3" s="125"/>
      <c r="F3" s="125"/>
      <c r="G3" s="125"/>
      <c r="H3" s="126"/>
      <c r="I3" s="279"/>
      <c r="J3" s="280"/>
      <c r="K3" s="280"/>
      <c r="L3" s="280"/>
      <c r="M3" s="280"/>
      <c r="N3" s="280"/>
      <c r="O3" s="280"/>
      <c r="P3" s="280"/>
      <c r="Q3" s="280"/>
      <c r="R3" s="280"/>
      <c r="S3" s="280"/>
      <c r="T3" s="280"/>
      <c r="U3" s="280"/>
      <c r="V3" s="280"/>
      <c r="W3" s="280"/>
      <c r="X3" s="280"/>
      <c r="Y3" s="281"/>
      <c r="AB3" s="124"/>
      <c r="AC3" s="125"/>
      <c r="AD3" s="125"/>
      <c r="AE3" s="125"/>
      <c r="AF3" s="125"/>
      <c r="AG3" s="125"/>
      <c r="AH3" s="125"/>
      <c r="AI3" s="125"/>
      <c r="AJ3" s="125"/>
      <c r="AK3" s="125"/>
      <c r="AL3" s="125"/>
      <c r="AM3" s="126"/>
      <c r="AN3" s="279"/>
      <c r="AO3" s="280"/>
      <c r="AP3" s="280"/>
      <c r="AQ3" s="280"/>
      <c r="AR3" s="280"/>
      <c r="AS3" s="280"/>
      <c r="AT3" s="280"/>
      <c r="AU3" s="280"/>
      <c r="AV3" s="280"/>
      <c r="AW3" s="280"/>
      <c r="AX3" s="280"/>
      <c r="AY3" s="280"/>
      <c r="AZ3" s="280"/>
      <c r="BA3" s="281"/>
      <c r="BC3" s="152"/>
      <c r="BD3" s="153"/>
      <c r="BE3" s="153"/>
      <c r="BF3" s="154"/>
      <c r="BG3" s="279"/>
      <c r="BH3" s="280"/>
      <c r="BI3" s="281"/>
      <c r="BK3" s="152"/>
      <c r="BL3" s="153"/>
      <c r="BM3" s="154"/>
      <c r="BN3" s="288"/>
      <c r="BO3" s="289"/>
      <c r="BP3" s="289"/>
      <c r="BQ3" s="289"/>
      <c r="BR3" s="290"/>
      <c r="BU3" s="152"/>
      <c r="BV3" s="153"/>
      <c r="BW3" s="153"/>
      <c r="BX3" s="153"/>
      <c r="BY3" s="153"/>
      <c r="BZ3" s="153"/>
      <c r="CA3" s="153"/>
      <c r="CB3" s="153"/>
      <c r="CC3" s="153"/>
      <c r="CD3" s="153"/>
      <c r="CE3" s="153"/>
      <c r="CF3" s="153"/>
      <c r="CG3" s="154"/>
    </row>
    <row r="4" spans="1:91" s="1" customFormat="1" ht="15.5" customHeight="1" x14ac:dyDescent="0.35">
      <c r="B4" s="127"/>
      <c r="C4" s="128"/>
      <c r="D4" s="128"/>
      <c r="E4" s="128"/>
      <c r="F4" s="128"/>
      <c r="G4" s="128"/>
      <c r="H4" s="129"/>
      <c r="I4" s="282"/>
      <c r="J4" s="283"/>
      <c r="K4" s="283"/>
      <c r="L4" s="283"/>
      <c r="M4" s="283"/>
      <c r="N4" s="283"/>
      <c r="O4" s="283"/>
      <c r="P4" s="283"/>
      <c r="Q4" s="283"/>
      <c r="R4" s="283"/>
      <c r="S4" s="283"/>
      <c r="T4" s="283"/>
      <c r="U4" s="283"/>
      <c r="V4" s="283"/>
      <c r="W4" s="283"/>
      <c r="X4" s="283"/>
      <c r="Y4" s="284"/>
      <c r="AB4" s="127"/>
      <c r="AC4" s="128"/>
      <c r="AD4" s="128"/>
      <c r="AE4" s="128"/>
      <c r="AF4" s="128"/>
      <c r="AG4" s="128"/>
      <c r="AH4" s="128"/>
      <c r="AI4" s="128"/>
      <c r="AJ4" s="128"/>
      <c r="AK4" s="128"/>
      <c r="AL4" s="128"/>
      <c r="AM4" s="129"/>
      <c r="AN4" s="282"/>
      <c r="AO4" s="283"/>
      <c r="AP4" s="283"/>
      <c r="AQ4" s="283"/>
      <c r="AR4" s="283"/>
      <c r="AS4" s="283"/>
      <c r="AT4" s="283"/>
      <c r="AU4" s="283"/>
      <c r="AV4" s="283"/>
      <c r="AW4" s="283"/>
      <c r="AX4" s="283"/>
      <c r="AY4" s="283"/>
      <c r="AZ4" s="283"/>
      <c r="BA4" s="284"/>
      <c r="BC4" s="155"/>
      <c r="BD4" s="156"/>
      <c r="BE4" s="156"/>
      <c r="BF4" s="157"/>
      <c r="BG4" s="282"/>
      <c r="BH4" s="283"/>
      <c r="BI4" s="284"/>
      <c r="BK4" s="155"/>
      <c r="BL4" s="156"/>
      <c r="BM4" s="157"/>
      <c r="BN4" s="291"/>
      <c r="BO4" s="292"/>
      <c r="BP4" s="292"/>
      <c r="BQ4" s="292"/>
      <c r="BR4" s="293"/>
      <c r="BU4" s="155"/>
      <c r="BV4" s="156"/>
      <c r="BW4" s="156"/>
      <c r="BX4" s="156"/>
      <c r="BY4" s="156"/>
      <c r="BZ4" s="156"/>
      <c r="CA4" s="156"/>
      <c r="CB4" s="156"/>
      <c r="CC4" s="156"/>
      <c r="CD4" s="156"/>
      <c r="CE4" s="156"/>
      <c r="CF4" s="156"/>
      <c r="CG4" s="157"/>
    </row>
    <row r="5" spans="1:91" s="1" customFormat="1" ht="8" customHeight="1" x14ac:dyDescent="0.35"/>
    <row r="6" spans="1:91" ht="19.5" customHeight="1" x14ac:dyDescent="0.35">
      <c r="A6" s="1"/>
      <c r="B6" s="149" t="s">
        <v>54</v>
      </c>
      <c r="C6" s="150"/>
      <c r="D6" s="150"/>
      <c r="E6" s="150"/>
      <c r="F6" s="151"/>
      <c r="G6" s="149" t="s">
        <v>147</v>
      </c>
      <c r="H6" s="150"/>
      <c r="I6" s="150"/>
      <c r="J6" s="150"/>
      <c r="K6" s="150"/>
      <c r="L6" s="150"/>
      <c r="M6" s="150"/>
      <c r="N6" s="150"/>
      <c r="O6" s="150"/>
      <c r="P6" s="150"/>
      <c r="Q6" s="150"/>
      <c r="R6" s="150"/>
      <c r="S6" s="150"/>
      <c r="T6" s="150"/>
      <c r="U6" s="150"/>
      <c r="V6" s="150"/>
      <c r="W6" s="150"/>
      <c r="X6" s="150"/>
      <c r="Y6" s="151"/>
      <c r="Z6" s="1"/>
      <c r="AA6" s="205" t="s">
        <v>161</v>
      </c>
      <c r="AB6" s="206"/>
      <c r="AC6" s="206"/>
      <c r="AD6" s="207"/>
      <c r="AE6" s="1"/>
      <c r="AF6" s="205" t="s">
        <v>162</v>
      </c>
      <c r="AG6" s="206"/>
      <c r="AH6" s="207"/>
      <c r="AI6" s="1"/>
      <c r="AJ6" s="162" t="s">
        <v>177</v>
      </c>
      <c r="AK6" s="162"/>
      <c r="AL6" s="162"/>
      <c r="AM6" s="162"/>
      <c r="AN6" s="162"/>
      <c r="AO6" s="162"/>
      <c r="AP6" s="162"/>
      <c r="AQ6" s="162"/>
      <c r="AR6" s="162"/>
      <c r="AS6" s="162"/>
      <c r="AT6" s="162"/>
      <c r="AU6" s="162"/>
      <c r="AV6" s="162"/>
      <c r="AW6" s="162"/>
      <c r="AX6" s="162"/>
      <c r="AY6" s="1"/>
      <c r="AZ6" s="115" t="s">
        <v>163</v>
      </c>
      <c r="BA6" s="116"/>
      <c r="BB6" s="116"/>
      <c r="BC6" s="116"/>
      <c r="BD6" s="116"/>
      <c r="BE6" s="116"/>
      <c r="BF6" s="116"/>
      <c r="BG6" s="117"/>
      <c r="BH6" s="9"/>
      <c r="BI6" s="115" t="s">
        <v>164</v>
      </c>
      <c r="BJ6" s="116"/>
      <c r="BK6" s="116"/>
      <c r="BL6" s="116"/>
      <c r="BM6" s="116"/>
      <c r="BN6" s="116"/>
      <c r="BO6" s="116"/>
      <c r="BP6" s="116"/>
      <c r="BQ6" s="116"/>
      <c r="BR6" s="116"/>
      <c r="BS6" s="116"/>
      <c r="BT6" s="116"/>
      <c r="BU6" s="116"/>
      <c r="BV6" s="117"/>
      <c r="BW6" s="9"/>
      <c r="BX6" s="205" t="s">
        <v>176</v>
      </c>
      <c r="BY6" s="206"/>
      <c r="BZ6" s="206"/>
      <c r="CA6" s="206"/>
      <c r="CB6" s="206"/>
      <c r="CC6" s="206"/>
      <c r="CD6" s="206"/>
      <c r="CE6" s="206"/>
      <c r="CF6" s="206"/>
      <c r="CG6" s="207"/>
      <c r="CH6" s="1"/>
    </row>
    <row r="7" spans="1:91" ht="16" customHeight="1" x14ac:dyDescent="0.35">
      <c r="A7" s="1"/>
      <c r="B7" s="152"/>
      <c r="C7" s="153"/>
      <c r="D7" s="153"/>
      <c r="E7" s="153"/>
      <c r="F7" s="154"/>
      <c r="G7" s="152"/>
      <c r="H7" s="153"/>
      <c r="I7" s="153"/>
      <c r="J7" s="153"/>
      <c r="K7" s="153"/>
      <c r="L7" s="153"/>
      <c r="M7" s="153"/>
      <c r="N7" s="153"/>
      <c r="O7" s="153"/>
      <c r="P7" s="153"/>
      <c r="Q7" s="153"/>
      <c r="R7" s="153"/>
      <c r="S7" s="153"/>
      <c r="T7" s="153"/>
      <c r="U7" s="153"/>
      <c r="V7" s="153"/>
      <c r="W7" s="153"/>
      <c r="X7" s="153"/>
      <c r="Y7" s="154"/>
      <c r="Z7" s="1"/>
      <c r="AA7" s="152" t="s">
        <v>134</v>
      </c>
      <c r="AB7" s="153"/>
      <c r="AC7" s="153"/>
      <c r="AD7" s="154"/>
      <c r="AE7" s="1"/>
      <c r="AF7" s="152" t="s">
        <v>155</v>
      </c>
      <c r="AG7" s="153"/>
      <c r="AH7" s="154"/>
      <c r="AI7" s="1"/>
      <c r="AJ7" s="162"/>
      <c r="AK7" s="162"/>
      <c r="AL7" s="162"/>
      <c r="AM7" s="162"/>
      <c r="AN7" s="162"/>
      <c r="AO7" s="162"/>
      <c r="AP7" s="162"/>
      <c r="AQ7" s="162"/>
      <c r="AR7" s="162"/>
      <c r="AS7" s="162"/>
      <c r="AT7" s="162"/>
      <c r="AU7" s="162"/>
      <c r="AV7" s="162"/>
      <c r="AW7" s="162"/>
      <c r="AX7" s="162"/>
      <c r="AY7" s="1"/>
      <c r="AZ7" s="174" t="s">
        <v>55</v>
      </c>
      <c r="BA7" s="175"/>
      <c r="BB7" s="175"/>
      <c r="BC7" s="176"/>
      <c r="BD7" s="174" t="s">
        <v>56</v>
      </c>
      <c r="BE7" s="175"/>
      <c r="BF7" s="176"/>
      <c r="BG7" s="24" t="s">
        <v>48</v>
      </c>
      <c r="BH7" s="9"/>
      <c r="BI7" s="82" t="s">
        <v>67</v>
      </c>
      <c r="BJ7" s="83"/>
      <c r="BK7" s="83"/>
      <c r="BL7" s="83"/>
      <c r="BM7" s="83"/>
      <c r="BN7" s="83"/>
      <c r="BO7" s="83"/>
      <c r="BP7" s="83"/>
      <c r="BQ7" s="83"/>
      <c r="BR7" s="83"/>
      <c r="BS7" s="84"/>
      <c r="BT7" s="219" t="s">
        <v>175</v>
      </c>
      <c r="BU7" s="220"/>
      <c r="BV7" s="221"/>
      <c r="BW7" s="9"/>
      <c r="BX7" s="208"/>
      <c r="BY7" s="209"/>
      <c r="BZ7" s="209"/>
      <c r="CA7" s="209"/>
      <c r="CB7" s="209"/>
      <c r="CC7" s="209"/>
      <c r="CD7" s="209"/>
      <c r="CE7" s="209"/>
      <c r="CF7" s="209"/>
      <c r="CG7" s="210"/>
      <c r="CH7" s="1"/>
    </row>
    <row r="8" spans="1:91" ht="16" customHeight="1" x14ac:dyDescent="0.35">
      <c r="A8" s="1"/>
      <c r="B8" s="152"/>
      <c r="C8" s="153"/>
      <c r="D8" s="153"/>
      <c r="E8" s="153"/>
      <c r="F8" s="154"/>
      <c r="G8" s="152"/>
      <c r="H8" s="153"/>
      <c r="I8" s="153"/>
      <c r="J8" s="153"/>
      <c r="K8" s="153"/>
      <c r="L8" s="153"/>
      <c r="M8" s="153"/>
      <c r="N8" s="153"/>
      <c r="O8" s="153"/>
      <c r="P8" s="153"/>
      <c r="Q8" s="153"/>
      <c r="R8" s="153"/>
      <c r="S8" s="153"/>
      <c r="T8" s="153"/>
      <c r="U8" s="153"/>
      <c r="V8" s="153"/>
      <c r="W8" s="153"/>
      <c r="X8" s="153"/>
      <c r="Y8" s="154"/>
      <c r="Z8" s="1"/>
      <c r="AA8" s="152"/>
      <c r="AB8" s="153"/>
      <c r="AC8" s="153"/>
      <c r="AD8" s="154"/>
      <c r="AE8" s="1"/>
      <c r="AF8" s="152"/>
      <c r="AG8" s="153"/>
      <c r="AH8" s="154"/>
      <c r="AI8" s="1"/>
      <c r="AJ8" s="163" t="s">
        <v>44</v>
      </c>
      <c r="AK8" s="163"/>
      <c r="AL8" s="163"/>
      <c r="AM8" s="163"/>
      <c r="AN8" s="163"/>
      <c r="AO8" s="163"/>
      <c r="AP8" s="163"/>
      <c r="AQ8" s="163"/>
      <c r="AR8" s="163"/>
      <c r="AS8" s="163"/>
      <c r="AT8" s="163"/>
      <c r="AU8" s="163"/>
      <c r="AV8" s="163"/>
      <c r="AW8" s="163"/>
      <c r="AX8" s="163"/>
      <c r="AY8" s="1"/>
      <c r="AZ8" s="63" t="s">
        <v>161</v>
      </c>
      <c r="BA8" s="63" t="s">
        <v>162</v>
      </c>
      <c r="BB8" s="63" t="s">
        <v>165</v>
      </c>
      <c r="BC8" s="63" t="s">
        <v>166</v>
      </c>
      <c r="BD8" s="63" t="s">
        <v>167</v>
      </c>
      <c r="BE8" s="63" t="s">
        <v>168</v>
      </c>
      <c r="BF8" s="63" t="s">
        <v>169</v>
      </c>
      <c r="BG8" s="63" t="s">
        <v>170</v>
      </c>
      <c r="BH8" s="9"/>
      <c r="BI8" s="167" t="s">
        <v>216</v>
      </c>
      <c r="BJ8" s="167" t="s">
        <v>171</v>
      </c>
      <c r="BK8" s="167" t="s">
        <v>215</v>
      </c>
      <c r="BL8" s="167" t="s">
        <v>172</v>
      </c>
      <c r="BM8" s="167" t="s">
        <v>217</v>
      </c>
      <c r="BN8" s="167" t="s">
        <v>173</v>
      </c>
      <c r="BO8" s="219" t="s">
        <v>174</v>
      </c>
      <c r="BP8" s="220"/>
      <c r="BQ8" s="220"/>
      <c r="BR8" s="220"/>
      <c r="BS8" s="221"/>
      <c r="BT8" s="225"/>
      <c r="BU8" s="226"/>
      <c r="BV8" s="227"/>
      <c r="BW8" s="9"/>
      <c r="BX8" s="211"/>
      <c r="BY8" s="212"/>
      <c r="BZ8" s="212"/>
      <c r="CA8" s="212"/>
      <c r="CB8" s="212"/>
      <c r="CC8" s="212"/>
      <c r="CD8" s="212"/>
      <c r="CE8" s="212"/>
      <c r="CF8" s="212"/>
      <c r="CG8" s="213"/>
      <c r="CH8" s="1"/>
    </row>
    <row r="9" spans="1:91" ht="30.5" customHeight="1" x14ac:dyDescent="0.35">
      <c r="A9" s="1"/>
      <c r="B9" s="155"/>
      <c r="C9" s="156"/>
      <c r="D9" s="156"/>
      <c r="E9" s="156"/>
      <c r="F9" s="157"/>
      <c r="G9" s="155"/>
      <c r="H9" s="156"/>
      <c r="I9" s="156"/>
      <c r="J9" s="156"/>
      <c r="K9" s="156"/>
      <c r="L9" s="156"/>
      <c r="M9" s="156"/>
      <c r="N9" s="156"/>
      <c r="O9" s="156"/>
      <c r="P9" s="156"/>
      <c r="Q9" s="156"/>
      <c r="R9" s="156"/>
      <c r="S9" s="156"/>
      <c r="T9" s="156"/>
      <c r="U9" s="156"/>
      <c r="V9" s="156"/>
      <c r="W9" s="156"/>
      <c r="X9" s="156"/>
      <c r="Y9" s="157"/>
      <c r="Z9" s="1"/>
      <c r="AA9" s="155"/>
      <c r="AB9" s="156"/>
      <c r="AC9" s="156"/>
      <c r="AD9" s="157"/>
      <c r="AE9" s="1"/>
      <c r="AF9" s="155"/>
      <c r="AG9" s="156"/>
      <c r="AH9" s="157"/>
      <c r="AI9" s="1"/>
      <c r="AJ9" s="161">
        <v>2026</v>
      </c>
      <c r="AK9" s="161"/>
      <c r="AL9" s="161"/>
      <c r="AM9" s="161">
        <v>2027</v>
      </c>
      <c r="AN9" s="161"/>
      <c r="AO9" s="161"/>
      <c r="AP9" s="161">
        <v>2028</v>
      </c>
      <c r="AQ9" s="161"/>
      <c r="AR9" s="161"/>
      <c r="AS9" s="161">
        <v>2029</v>
      </c>
      <c r="AT9" s="161"/>
      <c r="AU9" s="161"/>
      <c r="AV9" s="161">
        <v>2030</v>
      </c>
      <c r="AW9" s="161"/>
      <c r="AX9" s="161"/>
      <c r="AY9" s="1"/>
      <c r="AZ9" s="24" t="s">
        <v>46</v>
      </c>
      <c r="BA9" s="24" t="s">
        <v>45</v>
      </c>
      <c r="BB9" s="24" t="s">
        <v>47</v>
      </c>
      <c r="BC9" s="24" t="s">
        <v>49</v>
      </c>
      <c r="BD9" s="24" t="s">
        <v>50</v>
      </c>
      <c r="BE9" s="24" t="s">
        <v>51</v>
      </c>
      <c r="BF9" s="24" t="s">
        <v>64</v>
      </c>
      <c r="BG9" s="24" t="s">
        <v>48</v>
      </c>
      <c r="BH9" s="9"/>
      <c r="BI9" s="167"/>
      <c r="BJ9" s="167"/>
      <c r="BK9" s="167"/>
      <c r="BL9" s="167"/>
      <c r="BM9" s="167"/>
      <c r="BN9" s="167"/>
      <c r="BO9" s="222"/>
      <c r="BP9" s="223"/>
      <c r="BQ9" s="223"/>
      <c r="BR9" s="223"/>
      <c r="BS9" s="224"/>
      <c r="BT9" s="222"/>
      <c r="BU9" s="223"/>
      <c r="BV9" s="224"/>
      <c r="BW9" s="9"/>
      <c r="BX9" s="200" t="s">
        <v>8</v>
      </c>
      <c r="BY9" s="200"/>
      <c r="BZ9" s="200" t="s">
        <v>9</v>
      </c>
      <c r="CA9" s="200"/>
      <c r="CB9" s="200" t="s">
        <v>10</v>
      </c>
      <c r="CC9" s="200"/>
      <c r="CD9" s="192" t="s">
        <v>11</v>
      </c>
      <c r="CE9" s="193"/>
      <c r="CF9" s="192" t="s">
        <v>19</v>
      </c>
      <c r="CG9" s="193"/>
      <c r="CH9" s="1"/>
    </row>
    <row r="10" spans="1:91" ht="4.5" customHeight="1" x14ac:dyDescent="0.3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2"/>
      <c r="BY10" s="2"/>
      <c r="BZ10" s="2"/>
      <c r="CA10" s="2"/>
      <c r="CB10" s="2"/>
      <c r="CC10" s="2"/>
      <c r="CD10" s="2"/>
      <c r="CE10" s="2"/>
      <c r="CF10" s="2"/>
      <c r="CG10" s="2"/>
      <c r="CH10" s="1"/>
    </row>
    <row r="11" spans="1:91" s="51" customFormat="1" ht="24" customHeight="1" x14ac:dyDescent="0.35">
      <c r="A11" s="9"/>
      <c r="B11" s="194" t="s">
        <v>69</v>
      </c>
      <c r="C11" s="195"/>
      <c r="D11" s="195"/>
      <c r="E11" s="195"/>
      <c r="F11" s="196"/>
      <c r="G11" s="194" t="s">
        <v>68</v>
      </c>
      <c r="H11" s="195"/>
      <c r="I11" s="195"/>
      <c r="J11" s="195"/>
      <c r="K11" s="195"/>
      <c r="L11" s="195"/>
      <c r="M11" s="195"/>
      <c r="N11" s="195"/>
      <c r="O11" s="195"/>
      <c r="P11" s="195"/>
      <c r="Q11" s="195"/>
      <c r="R11" s="195"/>
      <c r="S11" s="195"/>
      <c r="T11" s="195"/>
      <c r="U11" s="195"/>
      <c r="V11" s="195"/>
      <c r="W11" s="195"/>
      <c r="X11" s="195"/>
      <c r="Y11" s="196"/>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191"/>
      <c r="BY11" s="191"/>
      <c r="BZ11" s="191"/>
      <c r="CA11" s="191"/>
      <c r="CB11" s="191"/>
      <c r="CC11" s="191"/>
      <c r="CD11" s="191"/>
      <c r="CE11" s="191"/>
      <c r="CF11" s="191"/>
      <c r="CG11" s="191"/>
      <c r="CH11" s="9"/>
      <c r="CJ11" s="52"/>
      <c r="CK11" s="52"/>
      <c r="CL11" s="52"/>
      <c r="CM11" s="52"/>
    </row>
    <row r="12" spans="1:91" s="51" customFormat="1" ht="24" customHeight="1" x14ac:dyDescent="0.35">
      <c r="A12" s="9"/>
      <c r="B12" s="109" t="s">
        <v>70</v>
      </c>
      <c r="C12" s="110"/>
      <c r="D12" s="110"/>
      <c r="E12" s="110"/>
      <c r="F12" s="111"/>
      <c r="G12" s="234" t="s">
        <v>185</v>
      </c>
      <c r="H12" s="235"/>
      <c r="I12" s="235"/>
      <c r="J12" s="235"/>
      <c r="K12" s="235"/>
      <c r="L12" s="235"/>
      <c r="M12" s="235"/>
      <c r="N12" s="235"/>
      <c r="O12" s="235"/>
      <c r="P12" s="235"/>
      <c r="Q12" s="235"/>
      <c r="R12" s="235"/>
      <c r="S12" s="235"/>
      <c r="T12" s="235"/>
      <c r="U12" s="235"/>
      <c r="V12" s="235"/>
      <c r="W12" s="235"/>
      <c r="X12" s="235"/>
      <c r="Y12" s="236"/>
      <c r="Z12" s="9"/>
      <c r="AA12" s="106"/>
      <c r="AB12" s="107"/>
      <c r="AC12" s="107"/>
      <c r="AD12" s="108"/>
      <c r="AE12" s="9"/>
      <c r="AF12" s="118">
        <v>0</v>
      </c>
      <c r="AG12" s="119"/>
      <c r="AH12" s="120"/>
      <c r="AI12" s="9"/>
      <c r="AJ12" s="106"/>
      <c r="AK12" s="107"/>
      <c r="AL12" s="108"/>
      <c r="AM12" s="106"/>
      <c r="AN12" s="107"/>
      <c r="AO12" s="108"/>
      <c r="AP12" s="106"/>
      <c r="AQ12" s="107"/>
      <c r="AR12" s="108"/>
      <c r="AS12" s="106"/>
      <c r="AT12" s="107"/>
      <c r="AU12" s="108"/>
      <c r="AV12" s="106"/>
      <c r="AW12" s="107"/>
      <c r="AX12" s="108"/>
      <c r="AZ12" s="53"/>
      <c r="BA12" s="61"/>
      <c r="BB12" s="61"/>
      <c r="BC12" s="61"/>
      <c r="BD12" s="61"/>
      <c r="BE12" s="61"/>
      <c r="BF12" s="61"/>
      <c r="BG12" s="61"/>
      <c r="BH12" s="9"/>
      <c r="BI12" s="53"/>
      <c r="BJ12" s="53"/>
      <c r="BK12" s="53"/>
      <c r="BL12" s="53"/>
      <c r="BM12" s="53"/>
      <c r="BN12" s="53"/>
      <c r="BO12" s="171">
        <f>SUM(BI12+BJ12+BK12+BL12+BM12+BN12)</f>
        <v>0</v>
      </c>
      <c r="BP12" s="172"/>
      <c r="BQ12" s="172"/>
      <c r="BR12" s="172"/>
      <c r="BS12" s="173"/>
      <c r="BT12" s="158">
        <f>SUM(100/BO121)*BO12</f>
        <v>0</v>
      </c>
      <c r="BU12" s="159"/>
      <c r="BV12" s="160"/>
      <c r="BW12" s="9"/>
      <c r="BX12" s="106"/>
      <c r="BY12" s="108"/>
      <c r="BZ12" s="106"/>
      <c r="CA12" s="108"/>
      <c r="CB12" s="106"/>
      <c r="CC12" s="108"/>
      <c r="CD12" s="106"/>
      <c r="CE12" s="108"/>
      <c r="CF12" s="189">
        <f t="shared" ref="CF12:CF32" si="0">SUM(BX12+BZ12+CB12+CD12)</f>
        <v>0</v>
      </c>
      <c r="CG12" s="190"/>
      <c r="CH12" s="9"/>
      <c r="CJ12" s="52"/>
      <c r="CK12" s="52"/>
      <c r="CL12" s="52"/>
      <c r="CM12" s="52"/>
    </row>
    <row r="13" spans="1:91" s="51" customFormat="1" ht="24" customHeight="1" x14ac:dyDescent="0.35">
      <c r="A13" s="9"/>
      <c r="B13" s="109" t="s">
        <v>71</v>
      </c>
      <c r="C13" s="110"/>
      <c r="D13" s="110"/>
      <c r="E13" s="110"/>
      <c r="F13" s="111"/>
      <c r="G13" s="234" t="s">
        <v>186</v>
      </c>
      <c r="H13" s="235"/>
      <c r="I13" s="235"/>
      <c r="J13" s="235"/>
      <c r="K13" s="235"/>
      <c r="L13" s="235"/>
      <c r="M13" s="235"/>
      <c r="N13" s="235"/>
      <c r="O13" s="235"/>
      <c r="P13" s="235"/>
      <c r="Q13" s="235"/>
      <c r="R13" s="235"/>
      <c r="S13" s="235"/>
      <c r="T13" s="235"/>
      <c r="U13" s="235"/>
      <c r="V13" s="235"/>
      <c r="W13" s="235"/>
      <c r="X13" s="235"/>
      <c r="Y13" s="236"/>
      <c r="Z13" s="9"/>
      <c r="AA13" s="106"/>
      <c r="AB13" s="107"/>
      <c r="AC13" s="107"/>
      <c r="AD13" s="108"/>
      <c r="AE13" s="9"/>
      <c r="AF13" s="118"/>
      <c r="AG13" s="119"/>
      <c r="AH13" s="120"/>
      <c r="AI13" s="9"/>
      <c r="AJ13" s="106"/>
      <c r="AK13" s="107"/>
      <c r="AL13" s="108"/>
      <c r="AM13" s="106"/>
      <c r="AN13" s="107"/>
      <c r="AO13" s="108"/>
      <c r="AP13" s="106"/>
      <c r="AQ13" s="107"/>
      <c r="AR13" s="108"/>
      <c r="AS13" s="106"/>
      <c r="AT13" s="107"/>
      <c r="AU13" s="108"/>
      <c r="AV13" s="106"/>
      <c r="AW13" s="107"/>
      <c r="AX13" s="108"/>
      <c r="AZ13" s="53"/>
      <c r="BA13" s="61"/>
      <c r="BB13" s="61"/>
      <c r="BC13" s="61"/>
      <c r="BD13" s="61"/>
      <c r="BE13" s="61"/>
      <c r="BF13" s="61"/>
      <c r="BG13" s="61"/>
      <c r="BH13" s="9"/>
      <c r="BI13" s="53"/>
      <c r="BJ13" s="53"/>
      <c r="BK13" s="53"/>
      <c r="BL13" s="53"/>
      <c r="BM13" s="53"/>
      <c r="BN13" s="53"/>
      <c r="BO13" s="171">
        <f t="shared" ref="BO13:BO27" si="1">SUM(BI13+BJ13+BK13+BL13+BM13+BN13)</f>
        <v>0</v>
      </c>
      <c r="BP13" s="172"/>
      <c r="BQ13" s="172"/>
      <c r="BR13" s="172"/>
      <c r="BS13" s="173"/>
      <c r="BT13" s="158">
        <f>SUM(100/BO121)*BO13</f>
        <v>0</v>
      </c>
      <c r="BU13" s="159"/>
      <c r="BV13" s="160"/>
      <c r="BW13" s="9"/>
      <c r="BX13" s="106"/>
      <c r="BY13" s="108"/>
      <c r="BZ13" s="106"/>
      <c r="CA13" s="108"/>
      <c r="CB13" s="106"/>
      <c r="CC13" s="108"/>
      <c r="CD13" s="106"/>
      <c r="CE13" s="108"/>
      <c r="CF13" s="189">
        <f t="shared" si="0"/>
        <v>0</v>
      </c>
      <c r="CG13" s="190"/>
      <c r="CH13" s="9"/>
      <c r="CJ13" s="54"/>
      <c r="CK13" s="54"/>
      <c r="CL13" s="54"/>
      <c r="CM13" s="54"/>
    </row>
    <row r="14" spans="1:91" s="51" customFormat="1" ht="24" customHeight="1" x14ac:dyDescent="0.35">
      <c r="A14" s="9"/>
      <c r="B14" s="109" t="s">
        <v>72</v>
      </c>
      <c r="C14" s="110"/>
      <c r="D14" s="110"/>
      <c r="E14" s="110"/>
      <c r="F14" s="111"/>
      <c r="G14" s="234" t="s">
        <v>31</v>
      </c>
      <c r="H14" s="235"/>
      <c r="I14" s="235"/>
      <c r="J14" s="235"/>
      <c r="K14" s="235"/>
      <c r="L14" s="235"/>
      <c r="M14" s="235"/>
      <c r="N14" s="235"/>
      <c r="O14" s="235"/>
      <c r="P14" s="235"/>
      <c r="Q14" s="235"/>
      <c r="R14" s="235"/>
      <c r="S14" s="235"/>
      <c r="T14" s="235"/>
      <c r="U14" s="235"/>
      <c r="V14" s="235"/>
      <c r="W14" s="235"/>
      <c r="X14" s="235"/>
      <c r="Y14" s="236"/>
      <c r="Z14" s="9"/>
      <c r="AA14" s="106"/>
      <c r="AB14" s="107"/>
      <c r="AC14" s="107"/>
      <c r="AD14" s="108"/>
      <c r="AE14" s="9"/>
      <c r="AF14" s="118"/>
      <c r="AG14" s="119"/>
      <c r="AH14" s="120"/>
      <c r="AI14" s="9"/>
      <c r="AJ14" s="106"/>
      <c r="AK14" s="107"/>
      <c r="AL14" s="108"/>
      <c r="AM14" s="106"/>
      <c r="AN14" s="107"/>
      <c r="AO14" s="108"/>
      <c r="AP14" s="106"/>
      <c r="AQ14" s="107"/>
      <c r="AR14" s="108"/>
      <c r="AS14" s="106"/>
      <c r="AT14" s="107"/>
      <c r="AU14" s="108"/>
      <c r="AV14" s="106"/>
      <c r="AW14" s="107"/>
      <c r="AX14" s="108"/>
      <c r="AZ14" s="53"/>
      <c r="BA14" s="61"/>
      <c r="BB14" s="61"/>
      <c r="BC14" s="61"/>
      <c r="BD14" s="61"/>
      <c r="BE14" s="61"/>
      <c r="BF14" s="61"/>
      <c r="BG14" s="61"/>
      <c r="BH14" s="9"/>
      <c r="BI14" s="53"/>
      <c r="BJ14" s="53"/>
      <c r="BK14" s="53"/>
      <c r="BL14" s="53"/>
      <c r="BM14" s="53"/>
      <c r="BN14" s="53"/>
      <c r="BO14" s="171">
        <f t="shared" si="1"/>
        <v>0</v>
      </c>
      <c r="BP14" s="172"/>
      <c r="BQ14" s="172"/>
      <c r="BR14" s="172"/>
      <c r="BS14" s="173"/>
      <c r="BT14" s="158">
        <f>SUM(100/BO121)*BO14</f>
        <v>0</v>
      </c>
      <c r="BU14" s="159"/>
      <c r="BV14" s="160"/>
      <c r="BW14" s="9"/>
      <c r="BX14" s="106"/>
      <c r="BY14" s="108"/>
      <c r="BZ14" s="106"/>
      <c r="CA14" s="108"/>
      <c r="CB14" s="106"/>
      <c r="CC14" s="108"/>
      <c r="CD14" s="106"/>
      <c r="CE14" s="108"/>
      <c r="CF14" s="189">
        <f t="shared" si="0"/>
        <v>0</v>
      </c>
      <c r="CG14" s="190"/>
      <c r="CH14" s="9"/>
      <c r="CJ14" s="54"/>
      <c r="CK14" s="54"/>
      <c r="CL14" s="54"/>
      <c r="CM14" s="54"/>
    </row>
    <row r="15" spans="1:91" s="51" customFormat="1" ht="24" customHeight="1" x14ac:dyDescent="0.35">
      <c r="A15" s="9"/>
      <c r="B15" s="109" t="s">
        <v>73</v>
      </c>
      <c r="C15" s="110"/>
      <c r="D15" s="110"/>
      <c r="E15" s="110"/>
      <c r="F15" s="111"/>
      <c r="G15" s="234" t="s">
        <v>187</v>
      </c>
      <c r="H15" s="235"/>
      <c r="I15" s="235"/>
      <c r="J15" s="235"/>
      <c r="K15" s="235"/>
      <c r="L15" s="235"/>
      <c r="M15" s="235"/>
      <c r="N15" s="235"/>
      <c r="O15" s="235"/>
      <c r="P15" s="235"/>
      <c r="Q15" s="235"/>
      <c r="R15" s="235"/>
      <c r="S15" s="235"/>
      <c r="T15" s="235"/>
      <c r="U15" s="235"/>
      <c r="V15" s="235"/>
      <c r="W15" s="235"/>
      <c r="X15" s="235"/>
      <c r="Y15" s="236"/>
      <c r="Z15" s="9"/>
      <c r="AA15" s="106"/>
      <c r="AB15" s="107"/>
      <c r="AC15" s="107"/>
      <c r="AD15" s="108"/>
      <c r="AE15" s="9"/>
      <c r="AF15" s="118"/>
      <c r="AG15" s="119"/>
      <c r="AH15" s="120"/>
      <c r="AI15" s="9"/>
      <c r="AJ15" s="106"/>
      <c r="AK15" s="107"/>
      <c r="AL15" s="108"/>
      <c r="AM15" s="106"/>
      <c r="AN15" s="107"/>
      <c r="AO15" s="108"/>
      <c r="AP15" s="106"/>
      <c r="AQ15" s="107"/>
      <c r="AR15" s="108"/>
      <c r="AS15" s="106"/>
      <c r="AT15" s="107"/>
      <c r="AU15" s="108"/>
      <c r="AV15" s="106"/>
      <c r="AW15" s="107"/>
      <c r="AX15" s="108"/>
      <c r="AZ15" s="53"/>
      <c r="BA15" s="61"/>
      <c r="BB15" s="61"/>
      <c r="BC15" s="61"/>
      <c r="BD15" s="61"/>
      <c r="BE15" s="61"/>
      <c r="BF15" s="61"/>
      <c r="BG15" s="61"/>
      <c r="BH15" s="9"/>
      <c r="BI15" s="53"/>
      <c r="BJ15" s="53"/>
      <c r="BK15" s="53"/>
      <c r="BL15" s="53"/>
      <c r="BM15" s="53"/>
      <c r="BN15" s="53"/>
      <c r="BO15" s="171">
        <f>SUM(BI15+BJ15+BK15+BL15+BM15+BN15)</f>
        <v>0</v>
      </c>
      <c r="BP15" s="172"/>
      <c r="BQ15" s="172"/>
      <c r="BR15" s="172"/>
      <c r="BS15" s="173"/>
      <c r="BT15" s="158">
        <f>SUM(100/BO121)*BO15</f>
        <v>0</v>
      </c>
      <c r="BU15" s="159"/>
      <c r="BV15" s="160"/>
      <c r="BW15" s="9"/>
      <c r="BX15" s="106"/>
      <c r="BY15" s="108"/>
      <c r="BZ15" s="106"/>
      <c r="CA15" s="108"/>
      <c r="CB15" s="106"/>
      <c r="CC15" s="108"/>
      <c r="CD15" s="106"/>
      <c r="CE15" s="108"/>
      <c r="CF15" s="189">
        <f t="shared" si="0"/>
        <v>0</v>
      </c>
      <c r="CG15" s="190"/>
      <c r="CH15" s="9"/>
      <c r="CJ15" s="54"/>
      <c r="CK15" s="54"/>
      <c r="CL15" s="54"/>
      <c r="CM15" s="54"/>
    </row>
    <row r="16" spans="1:91" s="51" customFormat="1" ht="24" customHeight="1" x14ac:dyDescent="0.35">
      <c r="A16" s="9"/>
      <c r="B16" s="109" t="s">
        <v>74</v>
      </c>
      <c r="C16" s="110"/>
      <c r="D16" s="110"/>
      <c r="E16" s="110"/>
      <c r="F16" s="111"/>
      <c r="G16" s="234" t="s">
        <v>188</v>
      </c>
      <c r="H16" s="235"/>
      <c r="I16" s="235"/>
      <c r="J16" s="235"/>
      <c r="K16" s="235"/>
      <c r="L16" s="235"/>
      <c r="M16" s="235"/>
      <c r="N16" s="235"/>
      <c r="O16" s="235"/>
      <c r="P16" s="235"/>
      <c r="Q16" s="235"/>
      <c r="R16" s="235"/>
      <c r="S16" s="235"/>
      <c r="T16" s="235"/>
      <c r="U16" s="235"/>
      <c r="V16" s="235"/>
      <c r="W16" s="235"/>
      <c r="X16" s="235"/>
      <c r="Y16" s="236"/>
      <c r="Z16" s="9"/>
      <c r="AA16" s="106"/>
      <c r="AB16" s="107"/>
      <c r="AC16" s="107"/>
      <c r="AD16" s="108"/>
      <c r="AE16" s="9"/>
      <c r="AF16" s="118"/>
      <c r="AG16" s="119"/>
      <c r="AH16" s="120"/>
      <c r="AI16" s="9"/>
      <c r="AJ16" s="106"/>
      <c r="AK16" s="107"/>
      <c r="AL16" s="108"/>
      <c r="AM16" s="106"/>
      <c r="AN16" s="107"/>
      <c r="AO16" s="108"/>
      <c r="AP16" s="106"/>
      <c r="AQ16" s="107"/>
      <c r="AR16" s="108"/>
      <c r="AS16" s="106"/>
      <c r="AT16" s="107"/>
      <c r="AU16" s="108"/>
      <c r="AV16" s="106"/>
      <c r="AW16" s="107"/>
      <c r="AX16" s="108"/>
      <c r="AZ16" s="61"/>
      <c r="BA16" s="61"/>
      <c r="BB16" s="61"/>
      <c r="BC16" s="61"/>
      <c r="BD16" s="61"/>
      <c r="BE16" s="61"/>
      <c r="BF16" s="61"/>
      <c r="BG16" s="61"/>
      <c r="BH16" s="9"/>
      <c r="BI16" s="53"/>
      <c r="BJ16" s="53"/>
      <c r="BK16" s="53"/>
      <c r="BL16" s="53"/>
      <c r="BM16" s="53"/>
      <c r="BN16" s="53"/>
      <c r="BO16" s="171">
        <f t="shared" si="1"/>
        <v>0</v>
      </c>
      <c r="BP16" s="172"/>
      <c r="BQ16" s="172"/>
      <c r="BR16" s="172"/>
      <c r="BS16" s="173"/>
      <c r="BT16" s="158">
        <f>SUM(100/BO121)*BO16</f>
        <v>0</v>
      </c>
      <c r="BU16" s="159"/>
      <c r="BV16" s="160"/>
      <c r="BW16" s="9"/>
      <c r="BX16" s="106"/>
      <c r="BY16" s="108"/>
      <c r="BZ16" s="106"/>
      <c r="CA16" s="108"/>
      <c r="CB16" s="106"/>
      <c r="CC16" s="108"/>
      <c r="CD16" s="106"/>
      <c r="CE16" s="108"/>
      <c r="CF16" s="189">
        <f t="shared" si="0"/>
        <v>0</v>
      </c>
      <c r="CG16" s="190"/>
      <c r="CH16" s="9"/>
    </row>
    <row r="17" spans="1:86" s="51" customFormat="1" ht="24" customHeight="1" x14ac:dyDescent="0.35">
      <c r="A17" s="9"/>
      <c r="B17" s="109" t="s">
        <v>75</v>
      </c>
      <c r="C17" s="110"/>
      <c r="D17" s="110"/>
      <c r="E17" s="110"/>
      <c r="F17" s="111"/>
      <c r="G17" s="234" t="s">
        <v>213</v>
      </c>
      <c r="H17" s="235"/>
      <c r="I17" s="235"/>
      <c r="J17" s="235"/>
      <c r="K17" s="235"/>
      <c r="L17" s="235"/>
      <c r="M17" s="235"/>
      <c r="N17" s="235"/>
      <c r="O17" s="235"/>
      <c r="P17" s="235"/>
      <c r="Q17" s="235"/>
      <c r="R17" s="235"/>
      <c r="S17" s="235"/>
      <c r="T17" s="235"/>
      <c r="U17" s="235"/>
      <c r="V17" s="235"/>
      <c r="W17" s="235"/>
      <c r="X17" s="235"/>
      <c r="Y17" s="236"/>
      <c r="Z17" s="9"/>
      <c r="AA17" s="106"/>
      <c r="AB17" s="107"/>
      <c r="AC17" s="107"/>
      <c r="AD17" s="108"/>
      <c r="AE17" s="9"/>
      <c r="AF17" s="118"/>
      <c r="AG17" s="119"/>
      <c r="AH17" s="120"/>
      <c r="AI17" s="9"/>
      <c r="AJ17" s="106"/>
      <c r="AK17" s="107"/>
      <c r="AL17" s="108"/>
      <c r="AM17" s="106"/>
      <c r="AN17" s="107"/>
      <c r="AO17" s="108"/>
      <c r="AP17" s="106"/>
      <c r="AQ17" s="107"/>
      <c r="AR17" s="108"/>
      <c r="AS17" s="106"/>
      <c r="AT17" s="107"/>
      <c r="AU17" s="108"/>
      <c r="AV17" s="106"/>
      <c r="AW17" s="107"/>
      <c r="AX17" s="108"/>
      <c r="AZ17" s="53"/>
      <c r="BA17" s="61"/>
      <c r="BB17" s="61"/>
      <c r="BC17" s="61"/>
      <c r="BD17" s="61"/>
      <c r="BE17" s="61"/>
      <c r="BF17" s="61"/>
      <c r="BG17" s="61"/>
      <c r="BH17" s="9"/>
      <c r="BI17" s="53"/>
      <c r="BJ17" s="53"/>
      <c r="BK17" s="53"/>
      <c r="BL17" s="53"/>
      <c r="BM17" s="53"/>
      <c r="BN17" s="53"/>
      <c r="BO17" s="171">
        <f t="shared" si="1"/>
        <v>0</v>
      </c>
      <c r="BP17" s="172"/>
      <c r="BQ17" s="172"/>
      <c r="BR17" s="172"/>
      <c r="BS17" s="173"/>
      <c r="BT17" s="158">
        <f>SUM(100/BO121)*BO17</f>
        <v>0</v>
      </c>
      <c r="BU17" s="159"/>
      <c r="BV17" s="160"/>
      <c r="BW17" s="9"/>
      <c r="BX17" s="106"/>
      <c r="BY17" s="108"/>
      <c r="BZ17" s="106"/>
      <c r="CA17" s="108"/>
      <c r="CB17" s="106"/>
      <c r="CC17" s="108"/>
      <c r="CD17" s="106"/>
      <c r="CE17" s="108"/>
      <c r="CF17" s="189">
        <f t="shared" si="0"/>
        <v>0</v>
      </c>
      <c r="CG17" s="190"/>
      <c r="CH17" s="9"/>
    </row>
    <row r="18" spans="1:86" s="51" customFormat="1" ht="24" customHeight="1" x14ac:dyDescent="0.35">
      <c r="A18" s="9"/>
      <c r="B18" s="109" t="s">
        <v>76</v>
      </c>
      <c r="C18" s="110"/>
      <c r="D18" s="110"/>
      <c r="E18" s="110"/>
      <c r="F18" s="111"/>
      <c r="G18" s="234" t="s">
        <v>189</v>
      </c>
      <c r="H18" s="235"/>
      <c r="I18" s="235"/>
      <c r="J18" s="235"/>
      <c r="K18" s="235"/>
      <c r="L18" s="235"/>
      <c r="M18" s="235"/>
      <c r="N18" s="235"/>
      <c r="O18" s="235"/>
      <c r="P18" s="235"/>
      <c r="Q18" s="235"/>
      <c r="R18" s="235"/>
      <c r="S18" s="235"/>
      <c r="T18" s="235"/>
      <c r="U18" s="235"/>
      <c r="V18" s="235"/>
      <c r="W18" s="235"/>
      <c r="X18" s="235"/>
      <c r="Y18" s="236"/>
      <c r="Z18" s="9"/>
      <c r="AA18" s="106"/>
      <c r="AB18" s="107"/>
      <c r="AC18" s="107"/>
      <c r="AD18" s="108"/>
      <c r="AE18" s="9"/>
      <c r="AF18" s="118"/>
      <c r="AG18" s="119"/>
      <c r="AH18" s="120"/>
      <c r="AI18" s="9"/>
      <c r="AJ18" s="106"/>
      <c r="AK18" s="107"/>
      <c r="AL18" s="108"/>
      <c r="AM18" s="106"/>
      <c r="AN18" s="107"/>
      <c r="AO18" s="108"/>
      <c r="AP18" s="106"/>
      <c r="AQ18" s="107"/>
      <c r="AR18" s="108"/>
      <c r="AS18" s="106"/>
      <c r="AT18" s="107"/>
      <c r="AU18" s="108"/>
      <c r="AV18" s="106"/>
      <c r="AW18" s="107"/>
      <c r="AX18" s="108"/>
      <c r="AZ18" s="53"/>
      <c r="BA18" s="61"/>
      <c r="BB18" s="61"/>
      <c r="BC18" s="61"/>
      <c r="BD18" s="61"/>
      <c r="BE18" s="61"/>
      <c r="BF18" s="61"/>
      <c r="BG18" s="61"/>
      <c r="BH18" s="9"/>
      <c r="BI18" s="53"/>
      <c r="BJ18" s="53"/>
      <c r="BK18" s="53"/>
      <c r="BL18" s="53"/>
      <c r="BM18" s="53"/>
      <c r="BN18" s="53"/>
      <c r="BO18" s="171">
        <f t="shared" si="1"/>
        <v>0</v>
      </c>
      <c r="BP18" s="172"/>
      <c r="BQ18" s="172"/>
      <c r="BR18" s="172"/>
      <c r="BS18" s="173"/>
      <c r="BT18" s="158">
        <f>SUM(100/BO121)*BO18</f>
        <v>0</v>
      </c>
      <c r="BU18" s="159"/>
      <c r="BV18" s="160"/>
      <c r="BW18" s="9"/>
      <c r="BX18" s="106"/>
      <c r="BY18" s="108"/>
      <c r="BZ18" s="106"/>
      <c r="CA18" s="108"/>
      <c r="CB18" s="106"/>
      <c r="CC18" s="108"/>
      <c r="CD18" s="106"/>
      <c r="CE18" s="108"/>
      <c r="CF18" s="189">
        <f t="shared" si="0"/>
        <v>0</v>
      </c>
      <c r="CG18" s="190"/>
      <c r="CH18" s="9"/>
    </row>
    <row r="19" spans="1:86" s="51" customFormat="1" ht="24" customHeight="1" x14ac:dyDescent="0.35">
      <c r="A19" s="9"/>
      <c r="B19" s="109" t="s">
        <v>77</v>
      </c>
      <c r="C19" s="110"/>
      <c r="D19" s="110"/>
      <c r="E19" s="110"/>
      <c r="F19" s="111"/>
      <c r="G19" s="234" t="s">
        <v>32</v>
      </c>
      <c r="H19" s="235"/>
      <c r="I19" s="235"/>
      <c r="J19" s="235"/>
      <c r="K19" s="235"/>
      <c r="L19" s="235"/>
      <c r="M19" s="235"/>
      <c r="N19" s="235"/>
      <c r="O19" s="235"/>
      <c r="P19" s="235"/>
      <c r="Q19" s="235"/>
      <c r="R19" s="235"/>
      <c r="S19" s="235"/>
      <c r="T19" s="235"/>
      <c r="U19" s="235"/>
      <c r="V19" s="235"/>
      <c r="W19" s="235"/>
      <c r="X19" s="235"/>
      <c r="Y19" s="236"/>
      <c r="Z19" s="9"/>
      <c r="AA19" s="106"/>
      <c r="AB19" s="107"/>
      <c r="AC19" s="107"/>
      <c r="AD19" s="108"/>
      <c r="AE19" s="9"/>
      <c r="AF19" s="118"/>
      <c r="AG19" s="119"/>
      <c r="AH19" s="120"/>
      <c r="AI19" s="9"/>
      <c r="AJ19" s="106"/>
      <c r="AK19" s="107"/>
      <c r="AL19" s="108"/>
      <c r="AM19" s="106"/>
      <c r="AN19" s="107"/>
      <c r="AO19" s="108"/>
      <c r="AP19" s="106"/>
      <c r="AQ19" s="107"/>
      <c r="AR19" s="108"/>
      <c r="AS19" s="106"/>
      <c r="AT19" s="107"/>
      <c r="AU19" s="108"/>
      <c r="AV19" s="106"/>
      <c r="AW19" s="107"/>
      <c r="AX19" s="108"/>
      <c r="AZ19" s="53"/>
      <c r="BA19" s="61"/>
      <c r="BB19" s="61"/>
      <c r="BC19" s="61"/>
      <c r="BD19" s="61"/>
      <c r="BE19" s="61"/>
      <c r="BF19" s="61"/>
      <c r="BG19" s="61"/>
      <c r="BH19" s="9"/>
      <c r="BI19" s="53"/>
      <c r="BJ19" s="53"/>
      <c r="BK19" s="53"/>
      <c r="BL19" s="53"/>
      <c r="BM19" s="53"/>
      <c r="BN19" s="53"/>
      <c r="BO19" s="171">
        <f t="shared" si="1"/>
        <v>0</v>
      </c>
      <c r="BP19" s="172"/>
      <c r="BQ19" s="172"/>
      <c r="BR19" s="172"/>
      <c r="BS19" s="173"/>
      <c r="BT19" s="158">
        <f>SUM(100/BO121)*BO19</f>
        <v>0</v>
      </c>
      <c r="BU19" s="159"/>
      <c r="BV19" s="160"/>
      <c r="BW19" s="9"/>
      <c r="BX19" s="106"/>
      <c r="BY19" s="108"/>
      <c r="BZ19" s="106"/>
      <c r="CA19" s="108"/>
      <c r="CB19" s="106"/>
      <c r="CC19" s="108"/>
      <c r="CD19" s="106"/>
      <c r="CE19" s="108"/>
      <c r="CF19" s="189">
        <f t="shared" si="0"/>
        <v>0</v>
      </c>
      <c r="CG19" s="190"/>
      <c r="CH19" s="9"/>
    </row>
    <row r="20" spans="1:86" s="51" customFormat="1" ht="24" customHeight="1" x14ac:dyDescent="0.35">
      <c r="A20" s="9"/>
      <c r="B20" s="109" t="s">
        <v>78</v>
      </c>
      <c r="C20" s="110"/>
      <c r="D20" s="110"/>
      <c r="E20" s="110"/>
      <c r="F20" s="111"/>
      <c r="G20" s="234" t="s">
        <v>42</v>
      </c>
      <c r="H20" s="235"/>
      <c r="I20" s="235"/>
      <c r="J20" s="235"/>
      <c r="K20" s="235"/>
      <c r="L20" s="235"/>
      <c r="M20" s="235"/>
      <c r="N20" s="235"/>
      <c r="O20" s="235"/>
      <c r="P20" s="235"/>
      <c r="Q20" s="235"/>
      <c r="R20" s="235"/>
      <c r="S20" s="235"/>
      <c r="T20" s="235"/>
      <c r="U20" s="235"/>
      <c r="V20" s="235"/>
      <c r="W20" s="235"/>
      <c r="X20" s="235"/>
      <c r="Y20" s="236"/>
      <c r="Z20" s="9"/>
      <c r="AA20" s="106"/>
      <c r="AB20" s="107"/>
      <c r="AC20" s="107"/>
      <c r="AD20" s="108"/>
      <c r="AE20" s="9"/>
      <c r="AF20" s="118"/>
      <c r="AG20" s="119"/>
      <c r="AH20" s="120"/>
      <c r="AI20" s="9"/>
      <c r="AJ20" s="106"/>
      <c r="AK20" s="107"/>
      <c r="AL20" s="108"/>
      <c r="AM20" s="106"/>
      <c r="AN20" s="107"/>
      <c r="AO20" s="108"/>
      <c r="AP20" s="106"/>
      <c r="AQ20" s="107"/>
      <c r="AR20" s="108"/>
      <c r="AS20" s="106"/>
      <c r="AT20" s="107"/>
      <c r="AU20" s="108"/>
      <c r="AV20" s="106"/>
      <c r="AW20" s="107"/>
      <c r="AX20" s="108"/>
      <c r="AZ20" s="53"/>
      <c r="BA20" s="61"/>
      <c r="BB20" s="61"/>
      <c r="BC20" s="61"/>
      <c r="BD20" s="61"/>
      <c r="BE20" s="61"/>
      <c r="BF20" s="61"/>
      <c r="BG20" s="61"/>
      <c r="BH20" s="9"/>
      <c r="BI20" s="53"/>
      <c r="BJ20" s="53"/>
      <c r="BK20" s="53"/>
      <c r="BL20" s="53"/>
      <c r="BM20" s="53"/>
      <c r="BN20" s="53"/>
      <c r="BO20" s="171">
        <f t="shared" si="1"/>
        <v>0</v>
      </c>
      <c r="BP20" s="172"/>
      <c r="BQ20" s="172"/>
      <c r="BR20" s="172"/>
      <c r="BS20" s="173"/>
      <c r="BT20" s="158">
        <f>SUM(100/BO121)*BO20</f>
        <v>0</v>
      </c>
      <c r="BU20" s="159"/>
      <c r="BV20" s="160"/>
      <c r="BW20" s="9"/>
      <c r="BX20" s="106"/>
      <c r="BY20" s="108"/>
      <c r="BZ20" s="106"/>
      <c r="CA20" s="108"/>
      <c r="CB20" s="106"/>
      <c r="CC20" s="108"/>
      <c r="CD20" s="106"/>
      <c r="CE20" s="108"/>
      <c r="CF20" s="189">
        <f t="shared" si="0"/>
        <v>0</v>
      </c>
      <c r="CG20" s="190"/>
      <c r="CH20" s="9"/>
    </row>
    <row r="21" spans="1:86" s="51" customFormat="1" ht="24" customHeight="1" x14ac:dyDescent="0.35">
      <c r="A21" s="9"/>
      <c r="B21" s="109" t="s">
        <v>79</v>
      </c>
      <c r="C21" s="110"/>
      <c r="D21" s="110"/>
      <c r="E21" s="110"/>
      <c r="F21" s="111"/>
      <c r="G21" s="234" t="s">
        <v>33</v>
      </c>
      <c r="H21" s="235"/>
      <c r="I21" s="235"/>
      <c r="J21" s="235"/>
      <c r="K21" s="235"/>
      <c r="L21" s="235"/>
      <c r="M21" s="235"/>
      <c r="N21" s="235"/>
      <c r="O21" s="235"/>
      <c r="P21" s="235"/>
      <c r="Q21" s="235"/>
      <c r="R21" s="235"/>
      <c r="S21" s="235"/>
      <c r="T21" s="235"/>
      <c r="U21" s="235"/>
      <c r="V21" s="235"/>
      <c r="W21" s="235"/>
      <c r="X21" s="235"/>
      <c r="Y21" s="236"/>
      <c r="Z21" s="9"/>
      <c r="AA21" s="106"/>
      <c r="AB21" s="107"/>
      <c r="AC21" s="107"/>
      <c r="AD21" s="108"/>
      <c r="AE21" s="9"/>
      <c r="AF21" s="118"/>
      <c r="AG21" s="119"/>
      <c r="AH21" s="120"/>
      <c r="AI21" s="9"/>
      <c r="AJ21" s="106"/>
      <c r="AK21" s="107"/>
      <c r="AL21" s="108"/>
      <c r="AM21" s="106"/>
      <c r="AN21" s="107"/>
      <c r="AO21" s="108"/>
      <c r="AP21" s="106"/>
      <c r="AQ21" s="107"/>
      <c r="AR21" s="108"/>
      <c r="AS21" s="106"/>
      <c r="AT21" s="107"/>
      <c r="AU21" s="108"/>
      <c r="AV21" s="106"/>
      <c r="AW21" s="107"/>
      <c r="AX21" s="108"/>
      <c r="AZ21" s="53"/>
      <c r="BA21" s="61"/>
      <c r="BB21" s="61"/>
      <c r="BC21" s="61"/>
      <c r="BD21" s="61"/>
      <c r="BE21" s="61"/>
      <c r="BF21" s="61"/>
      <c r="BG21" s="61"/>
      <c r="BH21" s="9"/>
      <c r="BI21" s="53"/>
      <c r="BJ21" s="53"/>
      <c r="BK21" s="53"/>
      <c r="BL21" s="53"/>
      <c r="BM21" s="53"/>
      <c r="BN21" s="53"/>
      <c r="BO21" s="171">
        <f t="shared" si="1"/>
        <v>0</v>
      </c>
      <c r="BP21" s="172"/>
      <c r="BQ21" s="172"/>
      <c r="BR21" s="172"/>
      <c r="BS21" s="173"/>
      <c r="BT21" s="158">
        <f>SUM(100/BO121)*BO21</f>
        <v>0</v>
      </c>
      <c r="BU21" s="159"/>
      <c r="BV21" s="160"/>
      <c r="BW21" s="9"/>
      <c r="BX21" s="106"/>
      <c r="BY21" s="108"/>
      <c r="BZ21" s="106"/>
      <c r="CA21" s="108"/>
      <c r="CB21" s="106"/>
      <c r="CC21" s="108"/>
      <c r="CD21" s="106"/>
      <c r="CE21" s="108"/>
      <c r="CF21" s="189">
        <f t="shared" si="0"/>
        <v>0</v>
      </c>
      <c r="CG21" s="190"/>
      <c r="CH21" s="9"/>
    </row>
    <row r="22" spans="1:86" s="51" customFormat="1" ht="24" customHeight="1" x14ac:dyDescent="0.35">
      <c r="A22" s="9"/>
      <c r="B22" s="109" t="s">
        <v>80</v>
      </c>
      <c r="C22" s="110"/>
      <c r="D22" s="110"/>
      <c r="E22" s="110"/>
      <c r="F22" s="111"/>
      <c r="G22" s="234" t="s">
        <v>190</v>
      </c>
      <c r="H22" s="235"/>
      <c r="I22" s="235"/>
      <c r="J22" s="235"/>
      <c r="K22" s="235"/>
      <c r="L22" s="235"/>
      <c r="M22" s="235"/>
      <c r="N22" s="235"/>
      <c r="O22" s="235"/>
      <c r="P22" s="235"/>
      <c r="Q22" s="235"/>
      <c r="R22" s="235"/>
      <c r="S22" s="235"/>
      <c r="T22" s="235"/>
      <c r="U22" s="235"/>
      <c r="V22" s="235"/>
      <c r="W22" s="235"/>
      <c r="X22" s="235"/>
      <c r="Y22" s="236"/>
      <c r="Z22" s="9"/>
      <c r="AA22" s="106"/>
      <c r="AB22" s="107"/>
      <c r="AC22" s="107"/>
      <c r="AD22" s="108"/>
      <c r="AE22" s="9"/>
      <c r="AF22" s="118"/>
      <c r="AG22" s="119"/>
      <c r="AH22" s="120"/>
      <c r="AI22" s="9"/>
      <c r="AJ22" s="106"/>
      <c r="AK22" s="107"/>
      <c r="AL22" s="108"/>
      <c r="AM22" s="106"/>
      <c r="AN22" s="107"/>
      <c r="AO22" s="108"/>
      <c r="AP22" s="106"/>
      <c r="AQ22" s="107"/>
      <c r="AR22" s="108"/>
      <c r="AS22" s="106"/>
      <c r="AT22" s="107"/>
      <c r="AU22" s="108"/>
      <c r="AV22" s="106"/>
      <c r="AW22" s="107"/>
      <c r="AX22" s="108"/>
      <c r="AZ22" s="53"/>
      <c r="BA22" s="61"/>
      <c r="BB22" s="61"/>
      <c r="BC22" s="61"/>
      <c r="BD22" s="61"/>
      <c r="BE22" s="61"/>
      <c r="BF22" s="61"/>
      <c r="BG22" s="61"/>
      <c r="BH22" s="9"/>
      <c r="BI22" s="53"/>
      <c r="BJ22" s="53"/>
      <c r="BK22" s="53"/>
      <c r="BL22" s="53"/>
      <c r="BM22" s="53"/>
      <c r="BN22" s="53"/>
      <c r="BO22" s="171">
        <f t="shared" si="1"/>
        <v>0</v>
      </c>
      <c r="BP22" s="172"/>
      <c r="BQ22" s="172"/>
      <c r="BR22" s="172"/>
      <c r="BS22" s="173"/>
      <c r="BT22" s="158">
        <f>SUM(100/BO121)*BO22</f>
        <v>0</v>
      </c>
      <c r="BU22" s="159"/>
      <c r="BV22" s="160"/>
      <c r="BW22" s="9"/>
      <c r="BX22" s="106"/>
      <c r="BY22" s="108"/>
      <c r="BZ22" s="106"/>
      <c r="CA22" s="108"/>
      <c r="CB22" s="106"/>
      <c r="CC22" s="108"/>
      <c r="CD22" s="106"/>
      <c r="CE22" s="108"/>
      <c r="CF22" s="189">
        <f t="shared" si="0"/>
        <v>0</v>
      </c>
      <c r="CG22" s="190"/>
      <c r="CH22" s="9"/>
    </row>
    <row r="23" spans="1:86" s="51" customFormat="1" ht="24" customHeight="1" x14ac:dyDescent="0.35">
      <c r="A23" s="9"/>
      <c r="B23" s="109" t="s">
        <v>81</v>
      </c>
      <c r="C23" s="110"/>
      <c r="D23" s="110"/>
      <c r="E23" s="110"/>
      <c r="F23" s="111"/>
      <c r="G23" s="234" t="s">
        <v>34</v>
      </c>
      <c r="H23" s="235"/>
      <c r="I23" s="235"/>
      <c r="J23" s="235"/>
      <c r="K23" s="235"/>
      <c r="L23" s="235"/>
      <c r="M23" s="235"/>
      <c r="N23" s="235"/>
      <c r="O23" s="235"/>
      <c r="P23" s="235"/>
      <c r="Q23" s="235"/>
      <c r="R23" s="235"/>
      <c r="S23" s="235"/>
      <c r="T23" s="235"/>
      <c r="U23" s="235"/>
      <c r="V23" s="235"/>
      <c r="W23" s="235"/>
      <c r="X23" s="235"/>
      <c r="Y23" s="236"/>
      <c r="Z23" s="9"/>
      <c r="AA23" s="106"/>
      <c r="AB23" s="107"/>
      <c r="AC23" s="107"/>
      <c r="AD23" s="108"/>
      <c r="AE23" s="9"/>
      <c r="AF23" s="118"/>
      <c r="AG23" s="119"/>
      <c r="AH23" s="120"/>
      <c r="AI23" s="9"/>
      <c r="AJ23" s="106"/>
      <c r="AK23" s="107"/>
      <c r="AL23" s="108"/>
      <c r="AM23" s="106"/>
      <c r="AN23" s="107"/>
      <c r="AO23" s="108"/>
      <c r="AP23" s="106"/>
      <c r="AQ23" s="107"/>
      <c r="AR23" s="108"/>
      <c r="AS23" s="106"/>
      <c r="AT23" s="107"/>
      <c r="AU23" s="108"/>
      <c r="AV23" s="106"/>
      <c r="AW23" s="107"/>
      <c r="AX23" s="108"/>
      <c r="AZ23" s="53"/>
      <c r="BA23" s="61"/>
      <c r="BB23" s="61"/>
      <c r="BC23" s="61"/>
      <c r="BD23" s="61"/>
      <c r="BE23" s="61"/>
      <c r="BF23" s="61"/>
      <c r="BG23" s="61"/>
      <c r="BH23" s="9"/>
      <c r="BI23" s="53"/>
      <c r="BJ23" s="53"/>
      <c r="BK23" s="53"/>
      <c r="BL23" s="53"/>
      <c r="BM23" s="53"/>
      <c r="BN23" s="53"/>
      <c r="BO23" s="171">
        <f t="shared" si="1"/>
        <v>0</v>
      </c>
      <c r="BP23" s="172"/>
      <c r="BQ23" s="172"/>
      <c r="BR23" s="172"/>
      <c r="BS23" s="173"/>
      <c r="BT23" s="158">
        <f>SUM(100/BO121)*BO23</f>
        <v>0</v>
      </c>
      <c r="BU23" s="159"/>
      <c r="BV23" s="160"/>
      <c r="BW23" s="9"/>
      <c r="BX23" s="106"/>
      <c r="BY23" s="108"/>
      <c r="BZ23" s="106"/>
      <c r="CA23" s="108"/>
      <c r="CB23" s="106"/>
      <c r="CC23" s="108"/>
      <c r="CD23" s="106"/>
      <c r="CE23" s="108"/>
      <c r="CF23" s="189">
        <f t="shared" si="0"/>
        <v>0</v>
      </c>
      <c r="CG23" s="190"/>
      <c r="CH23" s="9"/>
    </row>
    <row r="24" spans="1:86" s="51" customFormat="1" ht="24" customHeight="1" x14ac:dyDescent="0.35">
      <c r="A24" s="9"/>
      <c r="B24" s="109" t="s">
        <v>82</v>
      </c>
      <c r="C24" s="110"/>
      <c r="D24" s="110"/>
      <c r="E24" s="110"/>
      <c r="F24" s="111"/>
      <c r="G24" s="234" t="s">
        <v>35</v>
      </c>
      <c r="H24" s="235"/>
      <c r="I24" s="235"/>
      <c r="J24" s="235"/>
      <c r="K24" s="235"/>
      <c r="L24" s="235"/>
      <c r="M24" s="235"/>
      <c r="N24" s="235"/>
      <c r="O24" s="235"/>
      <c r="P24" s="235"/>
      <c r="Q24" s="235"/>
      <c r="R24" s="235"/>
      <c r="S24" s="235"/>
      <c r="T24" s="235"/>
      <c r="U24" s="235"/>
      <c r="V24" s="235"/>
      <c r="W24" s="235"/>
      <c r="X24" s="235"/>
      <c r="Y24" s="236"/>
      <c r="Z24" s="9"/>
      <c r="AA24" s="106"/>
      <c r="AB24" s="107"/>
      <c r="AC24" s="107"/>
      <c r="AD24" s="108"/>
      <c r="AE24" s="9"/>
      <c r="AF24" s="118"/>
      <c r="AG24" s="119"/>
      <c r="AH24" s="120"/>
      <c r="AI24" s="9"/>
      <c r="AJ24" s="106"/>
      <c r="AK24" s="107"/>
      <c r="AL24" s="108"/>
      <c r="AM24" s="106"/>
      <c r="AN24" s="107"/>
      <c r="AO24" s="108"/>
      <c r="AP24" s="106"/>
      <c r="AQ24" s="107"/>
      <c r="AR24" s="108"/>
      <c r="AS24" s="106"/>
      <c r="AT24" s="107"/>
      <c r="AU24" s="108"/>
      <c r="AV24" s="106"/>
      <c r="AW24" s="107"/>
      <c r="AX24" s="108"/>
      <c r="AZ24" s="53"/>
      <c r="BA24" s="61"/>
      <c r="BB24" s="61"/>
      <c r="BC24" s="61"/>
      <c r="BD24" s="61"/>
      <c r="BE24" s="61"/>
      <c r="BF24" s="61"/>
      <c r="BG24" s="61"/>
      <c r="BH24" s="9"/>
      <c r="BI24" s="53"/>
      <c r="BJ24" s="53"/>
      <c r="BK24" s="53"/>
      <c r="BL24" s="53"/>
      <c r="BM24" s="53"/>
      <c r="BN24" s="53"/>
      <c r="BO24" s="171">
        <f t="shared" si="1"/>
        <v>0</v>
      </c>
      <c r="BP24" s="172"/>
      <c r="BQ24" s="172"/>
      <c r="BR24" s="172"/>
      <c r="BS24" s="173"/>
      <c r="BT24" s="158">
        <f>SUM(100/BO121)*BO24</f>
        <v>0</v>
      </c>
      <c r="BU24" s="159"/>
      <c r="BV24" s="160"/>
      <c r="BW24" s="9"/>
      <c r="BX24" s="106"/>
      <c r="BY24" s="108"/>
      <c r="BZ24" s="106"/>
      <c r="CA24" s="108"/>
      <c r="CB24" s="106"/>
      <c r="CC24" s="108"/>
      <c r="CD24" s="106"/>
      <c r="CE24" s="108"/>
      <c r="CF24" s="189">
        <f t="shared" si="0"/>
        <v>0</v>
      </c>
      <c r="CG24" s="190"/>
      <c r="CH24" s="9"/>
    </row>
    <row r="25" spans="1:86" s="51" customFormat="1" ht="24" customHeight="1" x14ac:dyDescent="0.35">
      <c r="A25" s="9"/>
      <c r="B25" s="109" t="s">
        <v>83</v>
      </c>
      <c r="C25" s="110"/>
      <c r="D25" s="110"/>
      <c r="E25" s="110"/>
      <c r="F25" s="111"/>
      <c r="G25" s="234" t="s">
        <v>43</v>
      </c>
      <c r="H25" s="235"/>
      <c r="I25" s="235"/>
      <c r="J25" s="235"/>
      <c r="K25" s="235"/>
      <c r="L25" s="235"/>
      <c r="M25" s="235"/>
      <c r="N25" s="235"/>
      <c r="O25" s="235"/>
      <c r="P25" s="235"/>
      <c r="Q25" s="235"/>
      <c r="R25" s="235"/>
      <c r="S25" s="235"/>
      <c r="T25" s="235"/>
      <c r="U25" s="235"/>
      <c r="V25" s="235"/>
      <c r="W25" s="235"/>
      <c r="X25" s="235"/>
      <c r="Y25" s="236"/>
      <c r="Z25" s="9"/>
      <c r="AA25" s="106"/>
      <c r="AB25" s="107"/>
      <c r="AC25" s="107"/>
      <c r="AD25" s="108"/>
      <c r="AE25" s="9"/>
      <c r="AF25" s="118"/>
      <c r="AG25" s="119"/>
      <c r="AH25" s="120"/>
      <c r="AI25" s="9"/>
      <c r="AJ25" s="106"/>
      <c r="AK25" s="107"/>
      <c r="AL25" s="108"/>
      <c r="AM25" s="106"/>
      <c r="AN25" s="107"/>
      <c r="AO25" s="108"/>
      <c r="AP25" s="106"/>
      <c r="AQ25" s="107"/>
      <c r="AR25" s="108"/>
      <c r="AS25" s="106"/>
      <c r="AT25" s="107"/>
      <c r="AU25" s="108"/>
      <c r="AV25" s="106"/>
      <c r="AW25" s="107"/>
      <c r="AX25" s="108"/>
      <c r="AZ25" s="53"/>
      <c r="BA25" s="61"/>
      <c r="BB25" s="61"/>
      <c r="BC25" s="61"/>
      <c r="BD25" s="61"/>
      <c r="BE25" s="61"/>
      <c r="BF25" s="61"/>
      <c r="BG25" s="61"/>
      <c r="BH25" s="9"/>
      <c r="BI25" s="53"/>
      <c r="BJ25" s="53"/>
      <c r="BK25" s="53"/>
      <c r="BL25" s="53"/>
      <c r="BM25" s="53"/>
      <c r="BN25" s="53"/>
      <c r="BO25" s="171">
        <f t="shared" si="1"/>
        <v>0</v>
      </c>
      <c r="BP25" s="172"/>
      <c r="BQ25" s="172"/>
      <c r="BR25" s="172"/>
      <c r="BS25" s="173"/>
      <c r="BT25" s="158">
        <f>SUM(100/BO121)*BO25</f>
        <v>0</v>
      </c>
      <c r="BU25" s="159"/>
      <c r="BV25" s="160"/>
      <c r="BW25" s="9"/>
      <c r="BX25" s="106"/>
      <c r="BY25" s="108"/>
      <c r="BZ25" s="106"/>
      <c r="CA25" s="108"/>
      <c r="CB25" s="106"/>
      <c r="CC25" s="108"/>
      <c r="CD25" s="106"/>
      <c r="CE25" s="108"/>
      <c r="CF25" s="189">
        <f t="shared" si="0"/>
        <v>0</v>
      </c>
      <c r="CG25" s="190"/>
      <c r="CH25" s="9"/>
    </row>
    <row r="26" spans="1:86" s="51" customFormat="1" ht="24" customHeight="1" x14ac:dyDescent="0.35">
      <c r="A26" s="9"/>
      <c r="B26" s="109" t="s">
        <v>84</v>
      </c>
      <c r="C26" s="110"/>
      <c r="D26" s="110"/>
      <c r="E26" s="110"/>
      <c r="F26" s="111"/>
      <c r="G26" s="234" t="s">
        <v>27</v>
      </c>
      <c r="H26" s="235"/>
      <c r="I26" s="235"/>
      <c r="J26" s="235"/>
      <c r="K26" s="235"/>
      <c r="L26" s="235"/>
      <c r="M26" s="235"/>
      <c r="N26" s="235"/>
      <c r="O26" s="235"/>
      <c r="P26" s="235"/>
      <c r="Q26" s="235"/>
      <c r="R26" s="235"/>
      <c r="S26" s="235"/>
      <c r="T26" s="235"/>
      <c r="U26" s="235"/>
      <c r="V26" s="235"/>
      <c r="W26" s="235"/>
      <c r="X26" s="235"/>
      <c r="Y26" s="236"/>
      <c r="Z26" s="9"/>
      <c r="AA26" s="106"/>
      <c r="AB26" s="107"/>
      <c r="AC26" s="107"/>
      <c r="AD26" s="108"/>
      <c r="AE26" s="9"/>
      <c r="AF26" s="118"/>
      <c r="AG26" s="119"/>
      <c r="AH26" s="120"/>
      <c r="AI26" s="9"/>
      <c r="AJ26" s="106"/>
      <c r="AK26" s="107"/>
      <c r="AL26" s="108"/>
      <c r="AM26" s="106"/>
      <c r="AN26" s="107"/>
      <c r="AO26" s="108"/>
      <c r="AP26" s="106"/>
      <c r="AQ26" s="107"/>
      <c r="AR26" s="108"/>
      <c r="AS26" s="106"/>
      <c r="AT26" s="107"/>
      <c r="AU26" s="108"/>
      <c r="AV26" s="106"/>
      <c r="AW26" s="107"/>
      <c r="AX26" s="108"/>
      <c r="AZ26" s="53"/>
      <c r="BA26" s="61"/>
      <c r="BB26" s="61"/>
      <c r="BC26" s="61"/>
      <c r="BD26" s="61"/>
      <c r="BE26" s="61"/>
      <c r="BF26" s="61"/>
      <c r="BG26" s="61"/>
      <c r="BH26" s="9"/>
      <c r="BI26" s="53"/>
      <c r="BJ26" s="53"/>
      <c r="BK26" s="53"/>
      <c r="BL26" s="53"/>
      <c r="BM26" s="53"/>
      <c r="BN26" s="53"/>
      <c r="BO26" s="171">
        <f t="shared" si="1"/>
        <v>0</v>
      </c>
      <c r="BP26" s="172"/>
      <c r="BQ26" s="172"/>
      <c r="BR26" s="172"/>
      <c r="BS26" s="173"/>
      <c r="BT26" s="158">
        <f>SUM(100/BO121)*BO26</f>
        <v>0</v>
      </c>
      <c r="BU26" s="159"/>
      <c r="BV26" s="160"/>
      <c r="BW26" s="9"/>
      <c r="BX26" s="106"/>
      <c r="BY26" s="108"/>
      <c r="BZ26" s="106"/>
      <c r="CA26" s="108"/>
      <c r="CB26" s="106"/>
      <c r="CC26" s="108"/>
      <c r="CD26" s="106"/>
      <c r="CE26" s="108"/>
      <c r="CF26" s="189">
        <f t="shared" si="0"/>
        <v>0</v>
      </c>
      <c r="CG26" s="190"/>
      <c r="CH26" s="9"/>
    </row>
    <row r="27" spans="1:86" s="51" customFormat="1" ht="24" customHeight="1" x14ac:dyDescent="0.35">
      <c r="A27" s="9"/>
      <c r="B27" s="109" t="s">
        <v>85</v>
      </c>
      <c r="C27" s="110"/>
      <c r="D27" s="110"/>
      <c r="E27" s="110"/>
      <c r="F27" s="111"/>
      <c r="G27" s="234" t="s">
        <v>183</v>
      </c>
      <c r="H27" s="235"/>
      <c r="I27" s="235"/>
      <c r="J27" s="235"/>
      <c r="K27" s="235"/>
      <c r="L27" s="235"/>
      <c r="M27" s="235"/>
      <c r="N27" s="235"/>
      <c r="O27" s="235"/>
      <c r="P27" s="235"/>
      <c r="Q27" s="235"/>
      <c r="R27" s="235"/>
      <c r="S27" s="235"/>
      <c r="T27" s="235"/>
      <c r="U27" s="235"/>
      <c r="V27" s="235"/>
      <c r="W27" s="235"/>
      <c r="X27" s="235"/>
      <c r="Y27" s="236"/>
      <c r="Z27" s="9"/>
      <c r="AA27" s="106"/>
      <c r="AB27" s="107"/>
      <c r="AC27" s="107"/>
      <c r="AD27" s="108"/>
      <c r="AE27" s="9"/>
      <c r="AF27" s="118"/>
      <c r="AG27" s="119"/>
      <c r="AH27" s="120"/>
      <c r="AI27" s="9"/>
      <c r="AJ27" s="106"/>
      <c r="AK27" s="107"/>
      <c r="AL27" s="108"/>
      <c r="AM27" s="106"/>
      <c r="AN27" s="107"/>
      <c r="AO27" s="108"/>
      <c r="AP27" s="106"/>
      <c r="AQ27" s="107"/>
      <c r="AR27" s="108"/>
      <c r="AS27" s="106"/>
      <c r="AT27" s="107"/>
      <c r="AU27" s="108"/>
      <c r="AV27" s="106"/>
      <c r="AW27" s="107"/>
      <c r="AX27" s="108"/>
      <c r="AZ27" s="61"/>
      <c r="BA27" s="61"/>
      <c r="BB27" s="61"/>
      <c r="BC27" s="61"/>
      <c r="BD27" s="61"/>
      <c r="BE27" s="61"/>
      <c r="BF27" s="61"/>
      <c r="BG27" s="61"/>
      <c r="BH27" s="9"/>
      <c r="BI27" s="53"/>
      <c r="BJ27" s="53"/>
      <c r="BK27" s="53"/>
      <c r="BL27" s="53"/>
      <c r="BM27" s="53"/>
      <c r="BN27" s="53"/>
      <c r="BO27" s="183">
        <f t="shared" si="1"/>
        <v>0</v>
      </c>
      <c r="BP27" s="184"/>
      <c r="BQ27" s="184"/>
      <c r="BR27" s="184"/>
      <c r="BS27" s="185"/>
      <c r="BT27" s="158">
        <f>SUM(100/BO121)*BO27</f>
        <v>0</v>
      </c>
      <c r="BU27" s="159"/>
      <c r="BV27" s="160"/>
      <c r="BW27" s="9"/>
      <c r="BX27" s="106"/>
      <c r="BY27" s="108"/>
      <c r="BZ27" s="106"/>
      <c r="CA27" s="108"/>
      <c r="CB27" s="106"/>
      <c r="CC27" s="108"/>
      <c r="CD27" s="106"/>
      <c r="CE27" s="108"/>
      <c r="CF27" s="189">
        <f t="shared" si="0"/>
        <v>0</v>
      </c>
      <c r="CG27" s="190"/>
      <c r="CH27" s="9"/>
    </row>
    <row r="28" spans="1:86" s="51" customFormat="1" ht="24" customHeight="1" x14ac:dyDescent="0.35">
      <c r="A28" s="9"/>
      <c r="B28" s="109" t="s">
        <v>86</v>
      </c>
      <c r="C28" s="110"/>
      <c r="D28" s="110"/>
      <c r="E28" s="110"/>
      <c r="F28" s="111"/>
      <c r="G28" s="234" t="s">
        <v>139</v>
      </c>
      <c r="H28" s="235"/>
      <c r="I28" s="235"/>
      <c r="J28" s="235"/>
      <c r="K28" s="235"/>
      <c r="L28" s="235"/>
      <c r="M28" s="235"/>
      <c r="N28" s="235"/>
      <c r="O28" s="235"/>
      <c r="P28" s="235"/>
      <c r="Q28" s="235"/>
      <c r="R28" s="235"/>
      <c r="S28" s="235"/>
      <c r="T28" s="235"/>
      <c r="U28" s="235"/>
      <c r="V28" s="235"/>
      <c r="W28" s="235"/>
      <c r="X28" s="235"/>
      <c r="Y28" s="236"/>
      <c r="Z28" s="9"/>
      <c r="AA28" s="106"/>
      <c r="AB28" s="107"/>
      <c r="AC28" s="107"/>
      <c r="AD28" s="108"/>
      <c r="AE28" s="9"/>
      <c r="AF28" s="118"/>
      <c r="AG28" s="119"/>
      <c r="AH28" s="120"/>
      <c r="AI28" s="9"/>
      <c r="AJ28" s="106"/>
      <c r="AK28" s="107"/>
      <c r="AL28" s="108"/>
      <c r="AM28" s="106"/>
      <c r="AN28" s="107"/>
      <c r="AO28" s="108"/>
      <c r="AP28" s="106"/>
      <c r="AQ28" s="107"/>
      <c r="AR28" s="108"/>
      <c r="AS28" s="106"/>
      <c r="AT28" s="107"/>
      <c r="AU28" s="108"/>
      <c r="AV28" s="106"/>
      <c r="AW28" s="107"/>
      <c r="AX28" s="108"/>
      <c r="AY28" s="9"/>
      <c r="AZ28" s="61"/>
      <c r="BA28" s="61"/>
      <c r="BB28" s="61"/>
      <c r="BC28" s="61"/>
      <c r="BD28" s="61"/>
      <c r="BE28" s="61"/>
      <c r="BF28" s="61"/>
      <c r="BG28" s="61"/>
      <c r="BH28" s="9"/>
      <c r="BI28" s="53"/>
      <c r="BJ28" s="53"/>
      <c r="BK28" s="53"/>
      <c r="BL28" s="53"/>
      <c r="BM28" s="53"/>
      <c r="BN28" s="53"/>
      <c r="BO28" s="183">
        <f t="shared" ref="BO28" si="2">SUM(BI28+BJ28+BK28+BL28+BM28+BN28)</f>
        <v>0</v>
      </c>
      <c r="BP28" s="184"/>
      <c r="BQ28" s="184"/>
      <c r="BR28" s="184"/>
      <c r="BS28" s="185"/>
      <c r="BT28" s="158">
        <f>SUM(100/BO121)*BO28</f>
        <v>0</v>
      </c>
      <c r="BU28" s="159"/>
      <c r="BV28" s="160"/>
      <c r="BW28" s="9"/>
      <c r="BX28" s="106"/>
      <c r="BY28" s="108"/>
      <c r="BZ28" s="106"/>
      <c r="CA28" s="108"/>
      <c r="CB28" s="106"/>
      <c r="CC28" s="108"/>
      <c r="CD28" s="106"/>
      <c r="CE28" s="108"/>
      <c r="CF28" s="189">
        <f t="shared" si="0"/>
        <v>0</v>
      </c>
      <c r="CG28" s="190"/>
      <c r="CH28" s="9"/>
    </row>
    <row r="29" spans="1:86" s="51" customFormat="1" ht="24" customHeight="1" x14ac:dyDescent="0.35">
      <c r="A29" s="9"/>
      <c r="B29" s="109" t="s">
        <v>87</v>
      </c>
      <c r="C29" s="110"/>
      <c r="D29" s="110"/>
      <c r="E29" s="110"/>
      <c r="F29" s="111"/>
      <c r="G29" s="234" t="s">
        <v>184</v>
      </c>
      <c r="H29" s="235"/>
      <c r="I29" s="235"/>
      <c r="J29" s="235"/>
      <c r="K29" s="235"/>
      <c r="L29" s="235"/>
      <c r="M29" s="235"/>
      <c r="N29" s="235"/>
      <c r="O29" s="235"/>
      <c r="P29" s="235"/>
      <c r="Q29" s="235"/>
      <c r="R29" s="235"/>
      <c r="S29" s="235"/>
      <c r="T29" s="235"/>
      <c r="U29" s="235"/>
      <c r="V29" s="235"/>
      <c r="W29" s="235"/>
      <c r="X29" s="235"/>
      <c r="Y29" s="236"/>
      <c r="Z29" s="9"/>
      <c r="AA29" s="106"/>
      <c r="AB29" s="107"/>
      <c r="AC29" s="107"/>
      <c r="AD29" s="108"/>
      <c r="AE29" s="9"/>
      <c r="AF29" s="118"/>
      <c r="AG29" s="119"/>
      <c r="AH29" s="120"/>
      <c r="AI29" s="9"/>
      <c r="AJ29" s="106"/>
      <c r="AK29" s="107"/>
      <c r="AL29" s="108"/>
      <c r="AM29" s="106"/>
      <c r="AN29" s="107"/>
      <c r="AO29" s="108"/>
      <c r="AP29" s="106"/>
      <c r="AQ29" s="107"/>
      <c r="AR29" s="108"/>
      <c r="AS29" s="106"/>
      <c r="AT29" s="107"/>
      <c r="AU29" s="108"/>
      <c r="AV29" s="106"/>
      <c r="AW29" s="107"/>
      <c r="AX29" s="108"/>
      <c r="AZ29" s="53"/>
      <c r="BA29" s="62"/>
      <c r="BB29" s="53"/>
      <c r="BC29" s="53"/>
      <c r="BD29" s="61"/>
      <c r="BE29" s="61"/>
      <c r="BF29" s="61"/>
      <c r="BG29" s="61"/>
      <c r="BH29" s="9"/>
      <c r="BI29" s="53"/>
      <c r="BJ29" s="53"/>
      <c r="BK29" s="53"/>
      <c r="BL29" s="53"/>
      <c r="BM29" s="53"/>
      <c r="BN29" s="53"/>
      <c r="BO29" s="183">
        <f t="shared" ref="BO29:BO32" si="3">SUM(BI29+BJ29+BK29+BL29+BM29+BN29)</f>
        <v>0</v>
      </c>
      <c r="BP29" s="184"/>
      <c r="BQ29" s="184"/>
      <c r="BR29" s="184"/>
      <c r="BS29" s="185"/>
      <c r="BT29" s="158">
        <f>SUM(100/BO121)*BO29</f>
        <v>0</v>
      </c>
      <c r="BU29" s="159"/>
      <c r="BV29" s="160"/>
      <c r="BW29" s="9"/>
      <c r="BX29" s="106"/>
      <c r="BY29" s="108"/>
      <c r="BZ29" s="106"/>
      <c r="CA29" s="108"/>
      <c r="CB29" s="106"/>
      <c r="CC29" s="108"/>
      <c r="CD29" s="106"/>
      <c r="CE29" s="108"/>
      <c r="CF29" s="189">
        <f t="shared" si="0"/>
        <v>0</v>
      </c>
      <c r="CG29" s="190"/>
      <c r="CH29" s="9"/>
    </row>
    <row r="30" spans="1:86" s="51" customFormat="1" ht="24" customHeight="1" x14ac:dyDescent="0.35">
      <c r="A30" s="9"/>
      <c r="B30" s="109" t="s">
        <v>88</v>
      </c>
      <c r="C30" s="110"/>
      <c r="D30" s="110"/>
      <c r="E30" s="110"/>
      <c r="F30" s="111"/>
      <c r="G30" s="234" t="s">
        <v>36</v>
      </c>
      <c r="H30" s="235"/>
      <c r="I30" s="235"/>
      <c r="J30" s="235"/>
      <c r="K30" s="235"/>
      <c r="L30" s="235"/>
      <c r="M30" s="235"/>
      <c r="N30" s="235"/>
      <c r="O30" s="235"/>
      <c r="P30" s="235"/>
      <c r="Q30" s="235"/>
      <c r="R30" s="235"/>
      <c r="S30" s="235"/>
      <c r="T30" s="235"/>
      <c r="U30" s="235"/>
      <c r="V30" s="235"/>
      <c r="W30" s="235"/>
      <c r="X30" s="235"/>
      <c r="Y30" s="236"/>
      <c r="Z30" s="9"/>
      <c r="AA30" s="106"/>
      <c r="AB30" s="107"/>
      <c r="AC30" s="107"/>
      <c r="AD30" s="108"/>
      <c r="AE30" s="9"/>
      <c r="AF30" s="118"/>
      <c r="AG30" s="119"/>
      <c r="AH30" s="120"/>
      <c r="AI30" s="9"/>
      <c r="AJ30" s="106"/>
      <c r="AK30" s="107"/>
      <c r="AL30" s="108"/>
      <c r="AM30" s="106"/>
      <c r="AN30" s="107"/>
      <c r="AO30" s="108"/>
      <c r="AP30" s="106"/>
      <c r="AQ30" s="107"/>
      <c r="AR30" s="108"/>
      <c r="AS30" s="106"/>
      <c r="AT30" s="107"/>
      <c r="AU30" s="108"/>
      <c r="AV30" s="106"/>
      <c r="AW30" s="107"/>
      <c r="AX30" s="108"/>
      <c r="AZ30" s="53"/>
      <c r="BA30" s="61"/>
      <c r="BB30" s="61"/>
      <c r="BC30" s="53"/>
      <c r="BD30" s="61"/>
      <c r="BE30" s="61"/>
      <c r="BF30" s="61"/>
      <c r="BG30" s="61"/>
      <c r="BH30" s="9"/>
      <c r="BI30" s="53"/>
      <c r="BJ30" s="53"/>
      <c r="BK30" s="53"/>
      <c r="BL30" s="53"/>
      <c r="BM30" s="53"/>
      <c r="BN30" s="53"/>
      <c r="BO30" s="294">
        <f t="shared" si="3"/>
        <v>0</v>
      </c>
      <c r="BP30" s="294"/>
      <c r="BQ30" s="294"/>
      <c r="BR30" s="294"/>
      <c r="BS30" s="294"/>
      <c r="BT30" s="158">
        <f>SUM(100/BO121)*BO30</f>
        <v>0</v>
      </c>
      <c r="BU30" s="159"/>
      <c r="BV30" s="160"/>
      <c r="BW30" s="9"/>
      <c r="BX30" s="106"/>
      <c r="BY30" s="108"/>
      <c r="BZ30" s="106"/>
      <c r="CA30" s="108"/>
      <c r="CB30" s="106"/>
      <c r="CC30" s="108"/>
      <c r="CD30" s="106"/>
      <c r="CE30" s="108"/>
      <c r="CF30" s="189">
        <f t="shared" si="0"/>
        <v>0</v>
      </c>
      <c r="CG30" s="190"/>
      <c r="CH30" s="9"/>
    </row>
    <row r="31" spans="1:86" s="51" customFormat="1" ht="24" customHeight="1" x14ac:dyDescent="0.35">
      <c r="A31" s="9"/>
      <c r="B31" s="109" t="s">
        <v>178</v>
      </c>
      <c r="C31" s="110"/>
      <c r="D31" s="110"/>
      <c r="E31" s="110"/>
      <c r="F31" s="111"/>
      <c r="G31" s="234" t="s">
        <v>179</v>
      </c>
      <c r="H31" s="235"/>
      <c r="I31" s="235"/>
      <c r="J31" s="235"/>
      <c r="K31" s="235"/>
      <c r="L31" s="235"/>
      <c r="M31" s="235"/>
      <c r="N31" s="235"/>
      <c r="O31" s="235"/>
      <c r="P31" s="235"/>
      <c r="Q31" s="235"/>
      <c r="R31" s="235"/>
      <c r="S31" s="235"/>
      <c r="T31" s="235"/>
      <c r="U31" s="235"/>
      <c r="V31" s="235"/>
      <c r="W31" s="235"/>
      <c r="X31" s="235"/>
      <c r="Y31" s="236"/>
      <c r="Z31" s="9"/>
      <c r="AA31" s="106"/>
      <c r="AB31" s="107"/>
      <c r="AC31" s="107"/>
      <c r="AD31" s="108"/>
      <c r="AE31" s="9"/>
      <c r="AF31" s="118"/>
      <c r="AG31" s="119"/>
      <c r="AH31" s="120"/>
      <c r="AI31" s="9"/>
      <c r="AJ31" s="106"/>
      <c r="AK31" s="107"/>
      <c r="AL31" s="108"/>
      <c r="AM31" s="106"/>
      <c r="AN31" s="107"/>
      <c r="AO31" s="108"/>
      <c r="AP31" s="106"/>
      <c r="AQ31" s="107"/>
      <c r="AR31" s="108"/>
      <c r="AS31" s="106"/>
      <c r="AT31" s="107"/>
      <c r="AU31" s="108"/>
      <c r="AV31" s="106"/>
      <c r="AW31" s="107"/>
      <c r="AX31" s="108"/>
      <c r="AZ31" s="53"/>
      <c r="BA31" s="61"/>
      <c r="BB31" s="61"/>
      <c r="BC31" s="53"/>
      <c r="BD31" s="61"/>
      <c r="BE31" s="61"/>
      <c r="BF31" s="61"/>
      <c r="BG31" s="61"/>
      <c r="BH31" s="9"/>
      <c r="BI31" s="53"/>
      <c r="BJ31" s="53"/>
      <c r="BK31" s="53"/>
      <c r="BL31" s="53"/>
      <c r="BM31" s="53"/>
      <c r="BN31" s="53"/>
      <c r="BO31" s="294">
        <f t="shared" ref="BO31" si="4">SUM(BI31+BJ31+BK31+BL31+BM31+BN31)</f>
        <v>0</v>
      </c>
      <c r="BP31" s="294"/>
      <c r="BQ31" s="294"/>
      <c r="BR31" s="294"/>
      <c r="BS31" s="294"/>
      <c r="BT31" s="158">
        <f>SUM(100/BO121)*BO31</f>
        <v>0</v>
      </c>
      <c r="BU31" s="159"/>
      <c r="BV31" s="160"/>
      <c r="BW31" s="9"/>
      <c r="BX31" s="106"/>
      <c r="BY31" s="108"/>
      <c r="BZ31" s="106"/>
      <c r="CA31" s="108"/>
      <c r="CB31" s="106"/>
      <c r="CC31" s="108"/>
      <c r="CD31" s="106"/>
      <c r="CE31" s="108"/>
      <c r="CF31" s="189">
        <f t="shared" ref="CF31" si="5">SUM(BX31+BZ31+CB31+CD31)</f>
        <v>0</v>
      </c>
      <c r="CG31" s="190"/>
      <c r="CH31" s="9"/>
    </row>
    <row r="32" spans="1:86" s="51" customFormat="1" ht="24" customHeight="1" x14ac:dyDescent="0.35">
      <c r="A32" s="9"/>
      <c r="B32" s="109" t="s">
        <v>181</v>
      </c>
      <c r="C32" s="110"/>
      <c r="D32" s="110"/>
      <c r="E32" s="110"/>
      <c r="F32" s="111"/>
      <c r="G32" s="234" t="s">
        <v>182</v>
      </c>
      <c r="H32" s="235"/>
      <c r="I32" s="235"/>
      <c r="J32" s="235"/>
      <c r="K32" s="235"/>
      <c r="L32" s="235"/>
      <c r="M32" s="235"/>
      <c r="N32" s="235"/>
      <c r="O32" s="235"/>
      <c r="P32" s="235"/>
      <c r="Q32" s="235"/>
      <c r="R32" s="235"/>
      <c r="S32" s="235"/>
      <c r="T32" s="235"/>
      <c r="U32" s="235"/>
      <c r="V32" s="235"/>
      <c r="W32" s="235"/>
      <c r="X32" s="235"/>
      <c r="Y32" s="236"/>
      <c r="Z32" s="9"/>
      <c r="AA32" s="106"/>
      <c r="AB32" s="107"/>
      <c r="AC32" s="107"/>
      <c r="AD32" s="108"/>
      <c r="AE32" s="9"/>
      <c r="AF32" s="118"/>
      <c r="AG32" s="119"/>
      <c r="AH32" s="120"/>
      <c r="AI32" s="9"/>
      <c r="AJ32" s="106"/>
      <c r="AK32" s="107"/>
      <c r="AL32" s="108"/>
      <c r="AM32" s="106"/>
      <c r="AN32" s="107"/>
      <c r="AO32" s="108"/>
      <c r="AP32" s="106"/>
      <c r="AQ32" s="107"/>
      <c r="AR32" s="108"/>
      <c r="AS32" s="106"/>
      <c r="AT32" s="107"/>
      <c r="AU32" s="108"/>
      <c r="AV32" s="106"/>
      <c r="AW32" s="107"/>
      <c r="AX32" s="108"/>
      <c r="AZ32" s="53"/>
      <c r="BA32" s="61"/>
      <c r="BB32" s="61"/>
      <c r="BC32" s="53"/>
      <c r="BD32" s="61"/>
      <c r="BE32" s="61"/>
      <c r="BF32" s="61"/>
      <c r="BG32" s="61"/>
      <c r="BH32" s="9"/>
      <c r="BI32" s="53"/>
      <c r="BJ32" s="53"/>
      <c r="BK32" s="53"/>
      <c r="BL32" s="53"/>
      <c r="BM32" s="53"/>
      <c r="BN32" s="53"/>
      <c r="BO32" s="294">
        <f t="shared" si="3"/>
        <v>0</v>
      </c>
      <c r="BP32" s="294"/>
      <c r="BQ32" s="294"/>
      <c r="BR32" s="294"/>
      <c r="BS32" s="294"/>
      <c r="BT32" s="158">
        <f>SUM(100/BO121)*BO32</f>
        <v>0</v>
      </c>
      <c r="BU32" s="159"/>
      <c r="BV32" s="160"/>
      <c r="BW32" s="9"/>
      <c r="BX32" s="106"/>
      <c r="BY32" s="108"/>
      <c r="BZ32" s="106"/>
      <c r="CA32" s="108"/>
      <c r="CB32" s="106"/>
      <c r="CC32" s="108"/>
      <c r="CD32" s="106"/>
      <c r="CE32" s="108"/>
      <c r="CF32" s="189">
        <f t="shared" si="0"/>
        <v>0</v>
      </c>
      <c r="CG32" s="190"/>
      <c r="CH32" s="9"/>
    </row>
    <row r="33" spans="1:86" ht="4.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30"/>
      <c r="BJ33" s="30"/>
      <c r="BK33" s="30"/>
      <c r="BL33" s="30"/>
      <c r="BM33" s="30"/>
      <c r="BN33" s="30"/>
      <c r="BO33" s="30"/>
      <c r="BP33" s="30"/>
      <c r="BQ33" s="30"/>
      <c r="BR33" s="30"/>
      <c r="BS33" s="30"/>
      <c r="BT33" s="30"/>
      <c r="BU33" s="28"/>
      <c r="BV33" s="28"/>
      <c r="BW33" s="9"/>
      <c r="BX33" s="8"/>
      <c r="BY33" s="8"/>
      <c r="BZ33" s="8"/>
      <c r="CA33" s="8"/>
      <c r="CB33" s="8"/>
      <c r="CC33" s="8"/>
      <c r="CD33" s="8"/>
      <c r="CE33" s="8"/>
      <c r="CF33" s="8"/>
      <c r="CG33" s="8"/>
      <c r="CH33" s="1"/>
    </row>
    <row r="34" spans="1:86" s="51" customFormat="1" ht="24" customHeight="1" x14ac:dyDescent="0.35">
      <c r="A34" s="9"/>
      <c r="B34" s="194" t="s">
        <v>69</v>
      </c>
      <c r="C34" s="195"/>
      <c r="D34" s="195"/>
      <c r="E34" s="195"/>
      <c r="F34" s="196"/>
      <c r="G34" s="103" t="s">
        <v>103</v>
      </c>
      <c r="H34" s="104"/>
      <c r="I34" s="104"/>
      <c r="J34" s="104"/>
      <c r="K34" s="104"/>
      <c r="L34" s="104"/>
      <c r="M34" s="104"/>
      <c r="N34" s="104"/>
      <c r="O34" s="104"/>
      <c r="P34" s="104"/>
      <c r="Q34" s="104"/>
      <c r="R34" s="104"/>
      <c r="S34" s="104"/>
      <c r="T34" s="104"/>
      <c r="U34" s="104"/>
      <c r="V34" s="104"/>
      <c r="W34" s="104"/>
      <c r="X34" s="104"/>
      <c r="Y34" s="105"/>
      <c r="Z34" s="8"/>
      <c r="AA34" s="189">
        <f>SUM(AA12:AA32)</f>
        <v>0</v>
      </c>
      <c r="AB34" s="201"/>
      <c r="AC34" s="201"/>
      <c r="AD34" s="190"/>
      <c r="AE34" s="8"/>
      <c r="AF34" s="174">
        <f>MEDIAN(AF12:AF32)</f>
        <v>0</v>
      </c>
      <c r="AG34" s="175"/>
      <c r="AH34" s="176"/>
      <c r="AI34" s="8"/>
      <c r="AJ34" s="230"/>
      <c r="AK34" s="230"/>
      <c r="AL34" s="230"/>
      <c r="AM34" s="230"/>
      <c r="AN34" s="230"/>
      <c r="AO34" s="230"/>
      <c r="AP34" s="230"/>
      <c r="AQ34" s="230"/>
      <c r="AR34" s="230"/>
      <c r="AS34" s="230"/>
      <c r="AT34" s="230"/>
      <c r="AU34" s="230"/>
      <c r="AV34" s="230"/>
      <c r="AW34" s="230"/>
      <c r="AX34" s="230"/>
      <c r="AY34" s="8"/>
      <c r="AZ34" s="8"/>
      <c r="BA34" s="8"/>
      <c r="BB34" s="8"/>
      <c r="BC34" s="8"/>
      <c r="BD34" s="8"/>
      <c r="BE34" s="8"/>
      <c r="BF34" s="8"/>
      <c r="BG34" s="8"/>
      <c r="BH34" s="8"/>
      <c r="BI34" s="56">
        <f t="shared" ref="BI34:BN34" si="6">SUM(BI12:BI32)</f>
        <v>0</v>
      </c>
      <c r="BJ34" s="56">
        <f t="shared" si="6"/>
        <v>0</v>
      </c>
      <c r="BK34" s="56">
        <f t="shared" si="6"/>
        <v>0</v>
      </c>
      <c r="BL34" s="56">
        <f t="shared" si="6"/>
        <v>0</v>
      </c>
      <c r="BM34" s="56">
        <f t="shared" si="6"/>
        <v>0</v>
      </c>
      <c r="BN34" s="56">
        <f t="shared" si="6"/>
        <v>0</v>
      </c>
      <c r="BO34" s="171">
        <f>SUM(BI34+BJ34+BK34+BL34+BM34+BN34)</f>
        <v>0</v>
      </c>
      <c r="BP34" s="172"/>
      <c r="BQ34" s="172"/>
      <c r="BR34" s="172"/>
      <c r="BS34" s="173"/>
      <c r="BT34" s="158">
        <f>SUM(100/BO121)*BO34</f>
        <v>0</v>
      </c>
      <c r="BU34" s="159"/>
      <c r="BV34" s="160"/>
      <c r="BW34" s="8"/>
      <c r="BX34" s="174">
        <f>SUM(BX12:BX32)</f>
        <v>0</v>
      </c>
      <c r="BY34" s="176"/>
      <c r="BZ34" s="174">
        <f>SUM(BZ12:BZ32)</f>
        <v>0</v>
      </c>
      <c r="CA34" s="176"/>
      <c r="CB34" s="174">
        <f>SUM(CB12:CB32)</f>
        <v>0</v>
      </c>
      <c r="CC34" s="176"/>
      <c r="CD34" s="174">
        <f>SUM(CD12:CD32)</f>
        <v>0</v>
      </c>
      <c r="CE34" s="176"/>
      <c r="CF34" s="174">
        <f>SUM(CF12:CF32)</f>
        <v>0</v>
      </c>
      <c r="CG34" s="176"/>
      <c r="CH34" s="9"/>
    </row>
    <row r="35" spans="1:86" ht="4.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8"/>
      <c r="BY35" s="8"/>
      <c r="BZ35" s="8"/>
      <c r="CA35" s="8"/>
      <c r="CB35" s="8"/>
      <c r="CC35" s="8"/>
      <c r="CD35" s="8"/>
      <c r="CE35" s="8"/>
      <c r="CF35" s="8"/>
      <c r="CG35" s="8"/>
      <c r="CH35" s="1"/>
    </row>
    <row r="36" spans="1:86" ht="4.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8"/>
      <c r="BY36" s="8"/>
      <c r="BZ36" s="8"/>
      <c r="CA36" s="8"/>
      <c r="CB36" s="8"/>
      <c r="CC36" s="8"/>
      <c r="CD36" s="8"/>
      <c r="CE36" s="8"/>
      <c r="CF36" s="8"/>
      <c r="CG36" s="8"/>
      <c r="CH36" s="1"/>
    </row>
    <row r="37" spans="1:86" ht="19.5" customHeight="1" x14ac:dyDescent="0.35">
      <c r="A37" s="1"/>
      <c r="B37" s="149" t="s">
        <v>54</v>
      </c>
      <c r="C37" s="150"/>
      <c r="D37" s="150"/>
      <c r="E37" s="150"/>
      <c r="F37" s="151"/>
      <c r="G37" s="149" t="s">
        <v>52</v>
      </c>
      <c r="H37" s="150"/>
      <c r="I37" s="150"/>
      <c r="J37" s="150"/>
      <c r="K37" s="150"/>
      <c r="L37" s="150"/>
      <c r="M37" s="150"/>
      <c r="N37" s="150"/>
      <c r="O37" s="150"/>
      <c r="P37" s="150"/>
      <c r="Q37" s="150"/>
      <c r="R37" s="150"/>
      <c r="S37" s="150"/>
      <c r="T37" s="150"/>
      <c r="U37" s="150"/>
      <c r="V37" s="150"/>
      <c r="W37" s="150"/>
      <c r="X37" s="150"/>
      <c r="Y37" s="151"/>
      <c r="Z37" s="1"/>
      <c r="AA37" s="205" t="s">
        <v>161</v>
      </c>
      <c r="AB37" s="206"/>
      <c r="AC37" s="206"/>
      <c r="AD37" s="207"/>
      <c r="AE37" s="1"/>
      <c r="AF37" s="205" t="s">
        <v>162</v>
      </c>
      <c r="AG37" s="206"/>
      <c r="AH37" s="207"/>
      <c r="AI37" s="1"/>
      <c r="AJ37" s="162" t="s">
        <v>177</v>
      </c>
      <c r="AK37" s="162"/>
      <c r="AL37" s="162"/>
      <c r="AM37" s="162"/>
      <c r="AN37" s="162"/>
      <c r="AO37" s="162"/>
      <c r="AP37" s="162"/>
      <c r="AQ37" s="162"/>
      <c r="AR37" s="162"/>
      <c r="AS37" s="162"/>
      <c r="AT37" s="162"/>
      <c r="AU37" s="162"/>
      <c r="AV37" s="162"/>
      <c r="AW37" s="162"/>
      <c r="AX37" s="162"/>
      <c r="AY37" s="1"/>
      <c r="AZ37" s="115" t="s">
        <v>163</v>
      </c>
      <c r="BA37" s="116"/>
      <c r="BB37" s="116"/>
      <c r="BC37" s="116"/>
      <c r="BD37" s="116"/>
      <c r="BE37" s="116"/>
      <c r="BF37" s="116"/>
      <c r="BG37" s="117"/>
      <c r="BH37" s="9"/>
      <c r="BI37" s="115" t="s">
        <v>164</v>
      </c>
      <c r="BJ37" s="116"/>
      <c r="BK37" s="116"/>
      <c r="BL37" s="116"/>
      <c r="BM37" s="116"/>
      <c r="BN37" s="116"/>
      <c r="BO37" s="116"/>
      <c r="BP37" s="116"/>
      <c r="BQ37" s="116"/>
      <c r="BR37" s="116"/>
      <c r="BS37" s="116"/>
      <c r="BT37" s="116"/>
      <c r="BU37" s="116"/>
      <c r="BV37" s="117"/>
      <c r="BW37" s="9"/>
      <c r="BX37" s="205" t="s">
        <v>176</v>
      </c>
      <c r="BY37" s="206"/>
      <c r="BZ37" s="206"/>
      <c r="CA37" s="206"/>
      <c r="CB37" s="206"/>
      <c r="CC37" s="206"/>
      <c r="CD37" s="206"/>
      <c r="CE37" s="206"/>
      <c r="CF37" s="206"/>
      <c r="CG37" s="207"/>
      <c r="CH37" s="1"/>
    </row>
    <row r="38" spans="1:86" ht="16" customHeight="1" x14ac:dyDescent="0.35">
      <c r="A38" s="1"/>
      <c r="B38" s="152"/>
      <c r="C38" s="153"/>
      <c r="D38" s="153"/>
      <c r="E38" s="153"/>
      <c r="F38" s="154"/>
      <c r="G38" s="152"/>
      <c r="H38" s="153"/>
      <c r="I38" s="153"/>
      <c r="J38" s="153"/>
      <c r="K38" s="153"/>
      <c r="L38" s="153"/>
      <c r="M38" s="153"/>
      <c r="N38" s="153"/>
      <c r="O38" s="153"/>
      <c r="P38" s="153"/>
      <c r="Q38" s="153"/>
      <c r="R38" s="153"/>
      <c r="S38" s="153"/>
      <c r="T38" s="153"/>
      <c r="U38" s="153"/>
      <c r="V38" s="153"/>
      <c r="W38" s="153"/>
      <c r="X38" s="153"/>
      <c r="Y38" s="154"/>
      <c r="Z38" s="1"/>
      <c r="AA38" s="152" t="s">
        <v>134</v>
      </c>
      <c r="AB38" s="153"/>
      <c r="AC38" s="153"/>
      <c r="AD38" s="154"/>
      <c r="AE38" s="1"/>
      <c r="AF38" s="152" t="s">
        <v>155</v>
      </c>
      <c r="AG38" s="153"/>
      <c r="AH38" s="154"/>
      <c r="AI38" s="1"/>
      <c r="AJ38" s="162"/>
      <c r="AK38" s="162"/>
      <c r="AL38" s="162"/>
      <c r="AM38" s="162"/>
      <c r="AN38" s="162"/>
      <c r="AO38" s="162"/>
      <c r="AP38" s="162"/>
      <c r="AQ38" s="162"/>
      <c r="AR38" s="162"/>
      <c r="AS38" s="162"/>
      <c r="AT38" s="162"/>
      <c r="AU38" s="162"/>
      <c r="AV38" s="162"/>
      <c r="AW38" s="162"/>
      <c r="AX38" s="162"/>
      <c r="AY38" s="1"/>
      <c r="AZ38" s="174" t="s">
        <v>55</v>
      </c>
      <c r="BA38" s="175"/>
      <c r="BB38" s="175"/>
      <c r="BC38" s="176"/>
      <c r="BD38" s="174" t="s">
        <v>56</v>
      </c>
      <c r="BE38" s="175"/>
      <c r="BF38" s="176"/>
      <c r="BG38" s="24" t="s">
        <v>48</v>
      </c>
      <c r="BH38" s="9"/>
      <c r="BI38" s="82" t="s">
        <v>67</v>
      </c>
      <c r="BJ38" s="83"/>
      <c r="BK38" s="83"/>
      <c r="BL38" s="83"/>
      <c r="BM38" s="83"/>
      <c r="BN38" s="83"/>
      <c r="BO38" s="83"/>
      <c r="BP38" s="83"/>
      <c r="BQ38" s="83"/>
      <c r="BR38" s="83"/>
      <c r="BS38" s="84"/>
      <c r="BT38" s="219" t="s">
        <v>175</v>
      </c>
      <c r="BU38" s="220"/>
      <c r="BV38" s="221"/>
      <c r="BW38" s="9"/>
      <c r="BX38" s="208"/>
      <c r="BY38" s="209"/>
      <c r="BZ38" s="209"/>
      <c r="CA38" s="209"/>
      <c r="CB38" s="209"/>
      <c r="CC38" s="209"/>
      <c r="CD38" s="209"/>
      <c r="CE38" s="209"/>
      <c r="CF38" s="209"/>
      <c r="CG38" s="210"/>
      <c r="CH38" s="1"/>
    </row>
    <row r="39" spans="1:86" ht="16" customHeight="1" x14ac:dyDescent="0.35">
      <c r="A39" s="1"/>
      <c r="B39" s="152"/>
      <c r="C39" s="153"/>
      <c r="D39" s="153"/>
      <c r="E39" s="153"/>
      <c r="F39" s="154"/>
      <c r="G39" s="152"/>
      <c r="H39" s="153"/>
      <c r="I39" s="153"/>
      <c r="J39" s="153"/>
      <c r="K39" s="153"/>
      <c r="L39" s="153"/>
      <c r="M39" s="153"/>
      <c r="N39" s="153"/>
      <c r="O39" s="153"/>
      <c r="P39" s="153"/>
      <c r="Q39" s="153"/>
      <c r="R39" s="153"/>
      <c r="S39" s="153"/>
      <c r="T39" s="153"/>
      <c r="U39" s="153"/>
      <c r="V39" s="153"/>
      <c r="W39" s="153"/>
      <c r="X39" s="153"/>
      <c r="Y39" s="154"/>
      <c r="Z39" s="1"/>
      <c r="AA39" s="152"/>
      <c r="AB39" s="153"/>
      <c r="AC39" s="153"/>
      <c r="AD39" s="154"/>
      <c r="AE39" s="1"/>
      <c r="AF39" s="152"/>
      <c r="AG39" s="153"/>
      <c r="AH39" s="154"/>
      <c r="AI39" s="1"/>
      <c r="AJ39" s="163" t="s">
        <v>44</v>
      </c>
      <c r="AK39" s="163"/>
      <c r="AL39" s="163"/>
      <c r="AM39" s="163"/>
      <c r="AN39" s="163"/>
      <c r="AO39" s="163"/>
      <c r="AP39" s="163"/>
      <c r="AQ39" s="163"/>
      <c r="AR39" s="163"/>
      <c r="AS39" s="163"/>
      <c r="AT39" s="163"/>
      <c r="AU39" s="163"/>
      <c r="AV39" s="163"/>
      <c r="AW39" s="163"/>
      <c r="AX39" s="163"/>
      <c r="AY39" s="1"/>
      <c r="AZ39" s="63" t="s">
        <v>161</v>
      </c>
      <c r="BA39" s="63" t="s">
        <v>162</v>
      </c>
      <c r="BB39" s="63" t="s">
        <v>165</v>
      </c>
      <c r="BC39" s="63" t="s">
        <v>166</v>
      </c>
      <c r="BD39" s="63" t="s">
        <v>167</v>
      </c>
      <c r="BE39" s="63" t="s">
        <v>168</v>
      </c>
      <c r="BF39" s="63" t="s">
        <v>169</v>
      </c>
      <c r="BG39" s="63" t="s">
        <v>170</v>
      </c>
      <c r="BH39" s="9"/>
      <c r="BI39" s="167" t="s">
        <v>216</v>
      </c>
      <c r="BJ39" s="167" t="s">
        <v>171</v>
      </c>
      <c r="BK39" s="167" t="s">
        <v>215</v>
      </c>
      <c r="BL39" s="167" t="s">
        <v>172</v>
      </c>
      <c r="BM39" s="167" t="s">
        <v>217</v>
      </c>
      <c r="BN39" s="167" t="s">
        <v>173</v>
      </c>
      <c r="BO39" s="219" t="s">
        <v>174</v>
      </c>
      <c r="BP39" s="220"/>
      <c r="BQ39" s="220"/>
      <c r="BR39" s="220"/>
      <c r="BS39" s="221"/>
      <c r="BT39" s="225"/>
      <c r="BU39" s="226"/>
      <c r="BV39" s="227"/>
      <c r="BW39" s="9"/>
      <c r="BX39" s="211"/>
      <c r="BY39" s="212"/>
      <c r="BZ39" s="212"/>
      <c r="CA39" s="212"/>
      <c r="CB39" s="212"/>
      <c r="CC39" s="212"/>
      <c r="CD39" s="212"/>
      <c r="CE39" s="212"/>
      <c r="CF39" s="212"/>
      <c r="CG39" s="213"/>
      <c r="CH39" s="1"/>
    </row>
    <row r="40" spans="1:86" ht="30.5" customHeight="1" x14ac:dyDescent="0.35">
      <c r="A40" s="1"/>
      <c r="B40" s="155"/>
      <c r="C40" s="156"/>
      <c r="D40" s="156"/>
      <c r="E40" s="156"/>
      <c r="F40" s="157"/>
      <c r="G40" s="155"/>
      <c r="H40" s="156"/>
      <c r="I40" s="156"/>
      <c r="J40" s="156"/>
      <c r="K40" s="156"/>
      <c r="L40" s="156"/>
      <c r="M40" s="156"/>
      <c r="N40" s="156"/>
      <c r="O40" s="156"/>
      <c r="P40" s="156"/>
      <c r="Q40" s="156"/>
      <c r="R40" s="156"/>
      <c r="S40" s="156"/>
      <c r="T40" s="156"/>
      <c r="U40" s="156"/>
      <c r="V40" s="156"/>
      <c r="W40" s="156"/>
      <c r="X40" s="156"/>
      <c r="Y40" s="157"/>
      <c r="Z40" s="1"/>
      <c r="AA40" s="155"/>
      <c r="AB40" s="156"/>
      <c r="AC40" s="156"/>
      <c r="AD40" s="157"/>
      <c r="AE40" s="1"/>
      <c r="AF40" s="155"/>
      <c r="AG40" s="156"/>
      <c r="AH40" s="157"/>
      <c r="AI40" s="1"/>
      <c r="AJ40" s="161">
        <v>2026</v>
      </c>
      <c r="AK40" s="161"/>
      <c r="AL40" s="161"/>
      <c r="AM40" s="161">
        <v>2027</v>
      </c>
      <c r="AN40" s="161"/>
      <c r="AO40" s="161"/>
      <c r="AP40" s="161">
        <v>2028</v>
      </c>
      <c r="AQ40" s="161"/>
      <c r="AR40" s="161"/>
      <c r="AS40" s="161">
        <v>2029</v>
      </c>
      <c r="AT40" s="161"/>
      <c r="AU40" s="161"/>
      <c r="AV40" s="161">
        <v>2030</v>
      </c>
      <c r="AW40" s="161"/>
      <c r="AX40" s="161"/>
      <c r="AY40" s="1"/>
      <c r="AZ40" s="24" t="s">
        <v>46</v>
      </c>
      <c r="BA40" s="24" t="s">
        <v>45</v>
      </c>
      <c r="BB40" s="24" t="s">
        <v>47</v>
      </c>
      <c r="BC40" s="24" t="s">
        <v>49</v>
      </c>
      <c r="BD40" s="24" t="s">
        <v>50</v>
      </c>
      <c r="BE40" s="24" t="s">
        <v>51</v>
      </c>
      <c r="BF40" s="24" t="s">
        <v>64</v>
      </c>
      <c r="BG40" s="24" t="s">
        <v>48</v>
      </c>
      <c r="BH40" s="9"/>
      <c r="BI40" s="167"/>
      <c r="BJ40" s="167"/>
      <c r="BK40" s="167"/>
      <c r="BL40" s="167"/>
      <c r="BM40" s="167"/>
      <c r="BN40" s="167"/>
      <c r="BO40" s="222"/>
      <c r="BP40" s="223"/>
      <c r="BQ40" s="223"/>
      <c r="BR40" s="223"/>
      <c r="BS40" s="224"/>
      <c r="BT40" s="222"/>
      <c r="BU40" s="223"/>
      <c r="BV40" s="224"/>
      <c r="BW40" s="9"/>
      <c r="BX40" s="200" t="s">
        <v>8</v>
      </c>
      <c r="BY40" s="200"/>
      <c r="BZ40" s="200" t="s">
        <v>9</v>
      </c>
      <c r="CA40" s="200"/>
      <c r="CB40" s="200" t="s">
        <v>10</v>
      </c>
      <c r="CC40" s="200"/>
      <c r="CD40" s="192" t="s">
        <v>11</v>
      </c>
      <c r="CE40" s="193"/>
      <c r="CF40" s="192" t="s">
        <v>19</v>
      </c>
      <c r="CG40" s="193"/>
      <c r="CH40" s="1"/>
    </row>
    <row r="41" spans="1:86" ht="4.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8"/>
      <c r="BY41" s="8"/>
      <c r="BZ41" s="8"/>
      <c r="CA41" s="8"/>
      <c r="CB41" s="8"/>
      <c r="CC41" s="8"/>
      <c r="CD41" s="8"/>
      <c r="CE41" s="8"/>
      <c r="CF41" s="8"/>
      <c r="CG41" s="8"/>
      <c r="CH41" s="1"/>
    </row>
    <row r="42" spans="1:86" s="51" customFormat="1" ht="24" customHeight="1" x14ac:dyDescent="0.35">
      <c r="A42" s="9"/>
      <c r="B42" s="194" t="s">
        <v>89</v>
      </c>
      <c r="C42" s="195"/>
      <c r="D42" s="195"/>
      <c r="E42" s="195"/>
      <c r="F42" s="196"/>
      <c r="G42" s="194" t="s">
        <v>156</v>
      </c>
      <c r="H42" s="195"/>
      <c r="I42" s="195"/>
      <c r="J42" s="195"/>
      <c r="K42" s="195"/>
      <c r="L42" s="195"/>
      <c r="M42" s="195"/>
      <c r="N42" s="195"/>
      <c r="O42" s="195"/>
      <c r="P42" s="195"/>
      <c r="Q42" s="195"/>
      <c r="R42" s="195"/>
      <c r="S42" s="195"/>
      <c r="T42" s="195"/>
      <c r="U42" s="195"/>
      <c r="V42" s="195"/>
      <c r="W42" s="195"/>
      <c r="X42" s="195"/>
      <c r="Y42" s="196"/>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26"/>
      <c r="BJ42" s="26"/>
      <c r="BK42" s="26"/>
      <c r="BL42" s="26"/>
      <c r="BM42" s="26"/>
      <c r="BN42" s="26"/>
      <c r="BO42" s="28"/>
      <c r="BP42" s="28"/>
      <c r="BQ42" s="28"/>
      <c r="BR42" s="28"/>
      <c r="BS42" s="28"/>
      <c r="BT42" s="28"/>
      <c r="BU42" s="28"/>
      <c r="BV42" s="28"/>
      <c r="BW42" s="9"/>
      <c r="BX42" s="191"/>
      <c r="BY42" s="191"/>
      <c r="BZ42" s="191"/>
      <c r="CA42" s="191"/>
      <c r="CB42" s="191"/>
      <c r="CC42" s="191"/>
      <c r="CD42" s="191"/>
      <c r="CE42" s="191"/>
      <c r="CF42" s="191"/>
      <c r="CG42" s="191"/>
      <c r="CH42" s="9"/>
    </row>
    <row r="43" spans="1:86" s="51" customFormat="1" ht="24" customHeight="1" x14ac:dyDescent="0.35">
      <c r="A43" s="9"/>
      <c r="B43" s="231" t="s">
        <v>91</v>
      </c>
      <c r="C43" s="232"/>
      <c r="D43" s="232"/>
      <c r="E43" s="232"/>
      <c r="F43" s="233"/>
      <c r="G43" s="234" t="s">
        <v>210</v>
      </c>
      <c r="H43" s="235"/>
      <c r="I43" s="235"/>
      <c r="J43" s="235"/>
      <c r="K43" s="235"/>
      <c r="L43" s="235"/>
      <c r="M43" s="235"/>
      <c r="N43" s="235"/>
      <c r="O43" s="235"/>
      <c r="P43" s="235"/>
      <c r="Q43" s="235"/>
      <c r="R43" s="235"/>
      <c r="S43" s="235"/>
      <c r="T43" s="235"/>
      <c r="U43" s="235"/>
      <c r="V43" s="235"/>
      <c r="W43" s="235"/>
      <c r="X43" s="235"/>
      <c r="Y43" s="236"/>
      <c r="Z43" s="9"/>
      <c r="AA43" s="106"/>
      <c r="AB43" s="107"/>
      <c r="AC43" s="107"/>
      <c r="AD43" s="108"/>
      <c r="AE43" s="9"/>
      <c r="AF43" s="118">
        <v>0</v>
      </c>
      <c r="AG43" s="119"/>
      <c r="AH43" s="120"/>
      <c r="AI43" s="9"/>
      <c r="AJ43" s="106"/>
      <c r="AK43" s="107"/>
      <c r="AL43" s="108"/>
      <c r="AM43" s="106"/>
      <c r="AN43" s="107"/>
      <c r="AO43" s="108"/>
      <c r="AP43" s="106"/>
      <c r="AQ43" s="107"/>
      <c r="AR43" s="108"/>
      <c r="AS43" s="106"/>
      <c r="AT43" s="107"/>
      <c r="AU43" s="108"/>
      <c r="AV43" s="106"/>
      <c r="AW43" s="107"/>
      <c r="AX43" s="108"/>
      <c r="AZ43" s="61"/>
      <c r="BA43" s="61"/>
      <c r="BB43" s="61"/>
      <c r="BC43" s="53"/>
      <c r="BD43" s="61"/>
      <c r="BE43" s="61"/>
      <c r="BF43" s="61"/>
      <c r="BG43" s="61"/>
      <c r="BH43" s="9"/>
      <c r="BI43" s="53"/>
      <c r="BJ43" s="53"/>
      <c r="BK43" s="53"/>
      <c r="BL43" s="53"/>
      <c r="BM43" s="53"/>
      <c r="BN43" s="53"/>
      <c r="BO43" s="171">
        <f t="shared" ref="BO43:BO54" si="7">SUM(BI43+BJ43+BK43+BL43+BM43+BN43)</f>
        <v>0</v>
      </c>
      <c r="BP43" s="172"/>
      <c r="BQ43" s="172"/>
      <c r="BR43" s="172"/>
      <c r="BS43" s="173"/>
      <c r="BT43" s="164">
        <f>SUM(100/BO121)*BO43</f>
        <v>0</v>
      </c>
      <c r="BU43" s="165"/>
      <c r="BV43" s="166"/>
      <c r="BW43" s="9"/>
      <c r="BX43" s="228"/>
      <c r="BY43" s="229"/>
      <c r="BZ43" s="228"/>
      <c r="CA43" s="229"/>
      <c r="CB43" s="228"/>
      <c r="CC43" s="229"/>
      <c r="CD43" s="228"/>
      <c r="CE43" s="229"/>
      <c r="CF43" s="189">
        <f t="shared" ref="CF43:CF54" si="8">SUM(BX43+BZ43+CB43+CD43)</f>
        <v>0</v>
      </c>
      <c r="CG43" s="190"/>
      <c r="CH43" s="9"/>
    </row>
    <row r="44" spans="1:86" s="51" customFormat="1" ht="24" customHeight="1" x14ac:dyDescent="0.35">
      <c r="A44" s="9"/>
      <c r="B44" s="231" t="s">
        <v>92</v>
      </c>
      <c r="C44" s="232"/>
      <c r="D44" s="232"/>
      <c r="E44" s="232"/>
      <c r="F44" s="233"/>
      <c r="G44" s="234" t="s">
        <v>191</v>
      </c>
      <c r="H44" s="235"/>
      <c r="I44" s="235"/>
      <c r="J44" s="235"/>
      <c r="K44" s="235"/>
      <c r="L44" s="235"/>
      <c r="M44" s="235"/>
      <c r="N44" s="235"/>
      <c r="O44" s="235"/>
      <c r="P44" s="235"/>
      <c r="Q44" s="235"/>
      <c r="R44" s="235"/>
      <c r="S44" s="235"/>
      <c r="T44" s="235"/>
      <c r="U44" s="235"/>
      <c r="V44" s="235"/>
      <c r="W44" s="235"/>
      <c r="X44" s="235"/>
      <c r="Y44" s="236"/>
      <c r="Z44" s="9"/>
      <c r="AA44" s="106"/>
      <c r="AB44" s="107"/>
      <c r="AC44" s="107"/>
      <c r="AD44" s="108"/>
      <c r="AE44" s="9"/>
      <c r="AF44" s="118"/>
      <c r="AG44" s="119"/>
      <c r="AH44" s="120"/>
      <c r="AI44" s="9"/>
      <c r="AJ44" s="106"/>
      <c r="AK44" s="107"/>
      <c r="AL44" s="108"/>
      <c r="AM44" s="106"/>
      <c r="AN44" s="107"/>
      <c r="AO44" s="108"/>
      <c r="AP44" s="106"/>
      <c r="AQ44" s="107"/>
      <c r="AR44" s="108"/>
      <c r="AS44" s="106"/>
      <c r="AT44" s="107"/>
      <c r="AU44" s="108"/>
      <c r="AV44" s="106"/>
      <c r="AW44" s="107"/>
      <c r="AX44" s="108"/>
      <c r="AZ44" s="61"/>
      <c r="BA44" s="61"/>
      <c r="BB44" s="61"/>
      <c r="BC44" s="53"/>
      <c r="BD44" s="61"/>
      <c r="BE44" s="61"/>
      <c r="BF44" s="61"/>
      <c r="BG44" s="61"/>
      <c r="BH44" s="9"/>
      <c r="BI44" s="53"/>
      <c r="BJ44" s="53"/>
      <c r="BK44" s="53"/>
      <c r="BL44" s="53"/>
      <c r="BM44" s="53"/>
      <c r="BN44" s="53"/>
      <c r="BO44" s="171">
        <f t="shared" si="7"/>
        <v>0</v>
      </c>
      <c r="BP44" s="172"/>
      <c r="BQ44" s="172"/>
      <c r="BR44" s="172"/>
      <c r="BS44" s="173"/>
      <c r="BT44" s="164">
        <f>SUM(100/BO121)*BO44</f>
        <v>0</v>
      </c>
      <c r="BU44" s="165"/>
      <c r="BV44" s="166"/>
      <c r="BW44" s="9"/>
      <c r="BX44" s="106"/>
      <c r="BY44" s="108"/>
      <c r="BZ44" s="106"/>
      <c r="CA44" s="108"/>
      <c r="CB44" s="106"/>
      <c r="CC44" s="108"/>
      <c r="CD44" s="106"/>
      <c r="CE44" s="108"/>
      <c r="CF44" s="189">
        <f t="shared" si="8"/>
        <v>0</v>
      </c>
      <c r="CG44" s="190"/>
      <c r="CH44" s="9"/>
    </row>
    <row r="45" spans="1:86" s="51" customFormat="1" ht="24" customHeight="1" x14ac:dyDescent="0.35">
      <c r="A45" s="9"/>
      <c r="B45" s="231" t="s">
        <v>93</v>
      </c>
      <c r="C45" s="232"/>
      <c r="D45" s="232"/>
      <c r="E45" s="232"/>
      <c r="F45" s="233"/>
      <c r="G45" s="234" t="s">
        <v>37</v>
      </c>
      <c r="H45" s="235"/>
      <c r="I45" s="235"/>
      <c r="J45" s="235"/>
      <c r="K45" s="235"/>
      <c r="L45" s="235"/>
      <c r="M45" s="235"/>
      <c r="N45" s="235"/>
      <c r="O45" s="235"/>
      <c r="P45" s="235"/>
      <c r="Q45" s="235"/>
      <c r="R45" s="235"/>
      <c r="S45" s="235"/>
      <c r="T45" s="235"/>
      <c r="U45" s="235"/>
      <c r="V45" s="235"/>
      <c r="W45" s="235"/>
      <c r="X45" s="235"/>
      <c r="Y45" s="236"/>
      <c r="Z45" s="9"/>
      <c r="AA45" s="106"/>
      <c r="AB45" s="107"/>
      <c r="AC45" s="107"/>
      <c r="AD45" s="108"/>
      <c r="AE45" s="9"/>
      <c r="AF45" s="118"/>
      <c r="AG45" s="119"/>
      <c r="AH45" s="120"/>
      <c r="AI45" s="9"/>
      <c r="AJ45" s="106"/>
      <c r="AK45" s="107"/>
      <c r="AL45" s="108"/>
      <c r="AM45" s="106"/>
      <c r="AN45" s="107"/>
      <c r="AO45" s="108"/>
      <c r="AP45" s="106"/>
      <c r="AQ45" s="107"/>
      <c r="AR45" s="108"/>
      <c r="AS45" s="106"/>
      <c r="AT45" s="107"/>
      <c r="AU45" s="108"/>
      <c r="AV45" s="106"/>
      <c r="AW45" s="107"/>
      <c r="AX45" s="108"/>
      <c r="AZ45" s="61"/>
      <c r="BA45" s="61"/>
      <c r="BB45" s="61"/>
      <c r="BC45" s="53"/>
      <c r="BD45" s="61"/>
      <c r="BE45" s="61"/>
      <c r="BF45" s="61"/>
      <c r="BG45" s="61"/>
      <c r="BH45" s="9"/>
      <c r="BI45" s="53"/>
      <c r="BJ45" s="53"/>
      <c r="BK45" s="53"/>
      <c r="BL45" s="53"/>
      <c r="BM45" s="53"/>
      <c r="BN45" s="53"/>
      <c r="BO45" s="171">
        <f t="shared" si="7"/>
        <v>0</v>
      </c>
      <c r="BP45" s="172"/>
      <c r="BQ45" s="172"/>
      <c r="BR45" s="172"/>
      <c r="BS45" s="173"/>
      <c r="BT45" s="164">
        <f>SUM(100/BO121)*BO45</f>
        <v>0</v>
      </c>
      <c r="BU45" s="165"/>
      <c r="BV45" s="166"/>
      <c r="BW45" s="9"/>
      <c r="BX45" s="106"/>
      <c r="BY45" s="108"/>
      <c r="BZ45" s="106"/>
      <c r="CA45" s="108"/>
      <c r="CB45" s="106"/>
      <c r="CC45" s="108"/>
      <c r="CD45" s="106"/>
      <c r="CE45" s="108"/>
      <c r="CF45" s="189">
        <f t="shared" si="8"/>
        <v>0</v>
      </c>
      <c r="CG45" s="190"/>
      <c r="CH45" s="9"/>
    </row>
    <row r="46" spans="1:86" s="51" customFormat="1" ht="24" customHeight="1" x14ac:dyDescent="0.35">
      <c r="A46" s="9"/>
      <c r="B46" s="231" t="s">
        <v>94</v>
      </c>
      <c r="C46" s="232"/>
      <c r="D46" s="232"/>
      <c r="E46" s="232"/>
      <c r="F46" s="233"/>
      <c r="G46" s="234" t="s">
        <v>192</v>
      </c>
      <c r="H46" s="235"/>
      <c r="I46" s="235"/>
      <c r="J46" s="235"/>
      <c r="K46" s="235"/>
      <c r="L46" s="235"/>
      <c r="M46" s="235"/>
      <c r="N46" s="235"/>
      <c r="O46" s="235"/>
      <c r="P46" s="235"/>
      <c r="Q46" s="235"/>
      <c r="R46" s="235"/>
      <c r="S46" s="235"/>
      <c r="T46" s="235"/>
      <c r="U46" s="235"/>
      <c r="V46" s="235"/>
      <c r="W46" s="235"/>
      <c r="X46" s="235"/>
      <c r="Y46" s="236"/>
      <c r="Z46" s="9"/>
      <c r="AA46" s="106"/>
      <c r="AB46" s="107"/>
      <c r="AC46" s="107"/>
      <c r="AD46" s="108"/>
      <c r="AE46" s="9"/>
      <c r="AF46" s="118"/>
      <c r="AG46" s="119"/>
      <c r="AH46" s="120"/>
      <c r="AI46" s="9"/>
      <c r="AJ46" s="106"/>
      <c r="AK46" s="107"/>
      <c r="AL46" s="108"/>
      <c r="AM46" s="106"/>
      <c r="AN46" s="107"/>
      <c r="AO46" s="108"/>
      <c r="AP46" s="106"/>
      <c r="AQ46" s="107"/>
      <c r="AR46" s="108"/>
      <c r="AS46" s="106"/>
      <c r="AT46" s="107"/>
      <c r="AU46" s="108"/>
      <c r="AV46" s="106"/>
      <c r="AW46" s="107"/>
      <c r="AX46" s="108"/>
      <c r="AZ46" s="61"/>
      <c r="BA46" s="61"/>
      <c r="BB46" s="61"/>
      <c r="BC46" s="53"/>
      <c r="BD46" s="61"/>
      <c r="BE46" s="61"/>
      <c r="BF46" s="61"/>
      <c r="BG46" s="61"/>
      <c r="BH46" s="9"/>
      <c r="BI46" s="53"/>
      <c r="BJ46" s="53"/>
      <c r="BK46" s="53"/>
      <c r="BL46" s="53"/>
      <c r="BM46" s="53"/>
      <c r="BN46" s="53"/>
      <c r="BO46" s="171">
        <f t="shared" si="7"/>
        <v>0</v>
      </c>
      <c r="BP46" s="172"/>
      <c r="BQ46" s="172"/>
      <c r="BR46" s="172"/>
      <c r="BS46" s="173"/>
      <c r="BT46" s="164">
        <f>SUM(100/BO121)*BO46</f>
        <v>0</v>
      </c>
      <c r="BU46" s="165"/>
      <c r="BV46" s="166"/>
      <c r="BW46" s="9"/>
      <c r="BX46" s="106"/>
      <c r="BY46" s="108"/>
      <c r="BZ46" s="106"/>
      <c r="CA46" s="108"/>
      <c r="CB46" s="106"/>
      <c r="CC46" s="108"/>
      <c r="CD46" s="106"/>
      <c r="CE46" s="108"/>
      <c r="CF46" s="189">
        <f t="shared" si="8"/>
        <v>0</v>
      </c>
      <c r="CG46" s="190"/>
      <c r="CH46" s="9"/>
    </row>
    <row r="47" spans="1:86" s="51" customFormat="1" ht="24" customHeight="1" x14ac:dyDescent="0.35">
      <c r="A47" s="9"/>
      <c r="B47" s="231" t="s">
        <v>95</v>
      </c>
      <c r="C47" s="232"/>
      <c r="D47" s="232"/>
      <c r="E47" s="232"/>
      <c r="F47" s="233"/>
      <c r="G47" s="234" t="s">
        <v>38</v>
      </c>
      <c r="H47" s="235"/>
      <c r="I47" s="235"/>
      <c r="J47" s="235"/>
      <c r="K47" s="235"/>
      <c r="L47" s="235"/>
      <c r="M47" s="235"/>
      <c r="N47" s="235"/>
      <c r="O47" s="235"/>
      <c r="P47" s="235"/>
      <c r="Q47" s="235"/>
      <c r="R47" s="235"/>
      <c r="S47" s="235"/>
      <c r="T47" s="235"/>
      <c r="U47" s="235"/>
      <c r="V47" s="235"/>
      <c r="W47" s="235"/>
      <c r="X47" s="235"/>
      <c r="Y47" s="236"/>
      <c r="Z47" s="9"/>
      <c r="AA47" s="106"/>
      <c r="AB47" s="107"/>
      <c r="AC47" s="107"/>
      <c r="AD47" s="108"/>
      <c r="AE47" s="9"/>
      <c r="AF47" s="118"/>
      <c r="AG47" s="119"/>
      <c r="AH47" s="120"/>
      <c r="AI47" s="9"/>
      <c r="AJ47" s="106"/>
      <c r="AK47" s="107"/>
      <c r="AL47" s="108"/>
      <c r="AM47" s="106"/>
      <c r="AN47" s="107"/>
      <c r="AO47" s="108"/>
      <c r="AP47" s="106"/>
      <c r="AQ47" s="107"/>
      <c r="AR47" s="108"/>
      <c r="AS47" s="106"/>
      <c r="AT47" s="107"/>
      <c r="AU47" s="108"/>
      <c r="AV47" s="106"/>
      <c r="AW47" s="107"/>
      <c r="AX47" s="108"/>
      <c r="AZ47" s="61"/>
      <c r="BA47" s="61"/>
      <c r="BB47" s="61"/>
      <c r="BC47" s="61"/>
      <c r="BD47" s="53"/>
      <c r="BE47" s="61"/>
      <c r="BF47" s="61"/>
      <c r="BG47" s="61"/>
      <c r="BH47" s="9"/>
      <c r="BI47" s="53"/>
      <c r="BJ47" s="53"/>
      <c r="BK47" s="53"/>
      <c r="BL47" s="53"/>
      <c r="BM47" s="53"/>
      <c r="BN47" s="53"/>
      <c r="BO47" s="171">
        <f t="shared" si="7"/>
        <v>0</v>
      </c>
      <c r="BP47" s="172"/>
      <c r="BQ47" s="172"/>
      <c r="BR47" s="172"/>
      <c r="BS47" s="173"/>
      <c r="BT47" s="164">
        <f>SUM(100/BO121)*BO47</f>
        <v>0</v>
      </c>
      <c r="BU47" s="165"/>
      <c r="BV47" s="166"/>
      <c r="BW47" s="9"/>
      <c r="BX47" s="106"/>
      <c r="BY47" s="108"/>
      <c r="BZ47" s="106"/>
      <c r="CA47" s="108"/>
      <c r="CB47" s="106"/>
      <c r="CC47" s="108"/>
      <c r="CD47" s="106"/>
      <c r="CE47" s="108"/>
      <c r="CF47" s="189">
        <f t="shared" si="8"/>
        <v>0</v>
      </c>
      <c r="CG47" s="190"/>
      <c r="CH47" s="9"/>
    </row>
    <row r="48" spans="1:86" s="51" customFormat="1" ht="24" customHeight="1" x14ac:dyDescent="0.35">
      <c r="A48" s="9"/>
      <c r="B48" s="231" t="s">
        <v>96</v>
      </c>
      <c r="C48" s="232"/>
      <c r="D48" s="232"/>
      <c r="E48" s="232"/>
      <c r="F48" s="233"/>
      <c r="G48" s="234" t="s">
        <v>39</v>
      </c>
      <c r="H48" s="235"/>
      <c r="I48" s="235"/>
      <c r="J48" s="235"/>
      <c r="K48" s="235"/>
      <c r="L48" s="235"/>
      <c r="M48" s="235"/>
      <c r="N48" s="235"/>
      <c r="O48" s="235"/>
      <c r="P48" s="235"/>
      <c r="Q48" s="235"/>
      <c r="R48" s="235"/>
      <c r="S48" s="235"/>
      <c r="T48" s="235"/>
      <c r="U48" s="235"/>
      <c r="V48" s="235"/>
      <c r="W48" s="235"/>
      <c r="X48" s="235"/>
      <c r="Y48" s="236"/>
      <c r="Z48" s="9"/>
      <c r="AA48" s="106"/>
      <c r="AB48" s="107"/>
      <c r="AC48" s="107"/>
      <c r="AD48" s="108"/>
      <c r="AE48" s="9"/>
      <c r="AF48" s="177"/>
      <c r="AG48" s="178"/>
      <c r="AH48" s="179"/>
      <c r="AI48" s="9"/>
      <c r="AJ48" s="106"/>
      <c r="AK48" s="107"/>
      <c r="AL48" s="108"/>
      <c r="AM48" s="106"/>
      <c r="AN48" s="107"/>
      <c r="AO48" s="108"/>
      <c r="AP48" s="106"/>
      <c r="AQ48" s="107"/>
      <c r="AR48" s="108"/>
      <c r="AS48" s="106"/>
      <c r="AT48" s="107"/>
      <c r="AU48" s="108"/>
      <c r="AV48" s="106"/>
      <c r="AW48" s="107"/>
      <c r="AX48" s="108"/>
      <c r="AZ48" s="61"/>
      <c r="BA48" s="61"/>
      <c r="BB48" s="61"/>
      <c r="BC48" s="61"/>
      <c r="BD48" s="53"/>
      <c r="BE48" s="61"/>
      <c r="BF48" s="61"/>
      <c r="BG48" s="61"/>
      <c r="BH48" s="9"/>
      <c r="BI48" s="53"/>
      <c r="BJ48" s="53"/>
      <c r="BK48" s="53"/>
      <c r="BL48" s="53"/>
      <c r="BM48" s="53"/>
      <c r="BN48" s="53"/>
      <c r="BO48" s="171">
        <f t="shared" si="7"/>
        <v>0</v>
      </c>
      <c r="BP48" s="172"/>
      <c r="BQ48" s="172"/>
      <c r="BR48" s="172"/>
      <c r="BS48" s="173"/>
      <c r="BT48" s="164">
        <f>SUM(100/BO121)*BO48</f>
        <v>0</v>
      </c>
      <c r="BU48" s="165"/>
      <c r="BV48" s="166"/>
      <c r="BW48" s="9"/>
      <c r="BX48" s="106"/>
      <c r="BY48" s="108"/>
      <c r="BZ48" s="106"/>
      <c r="CA48" s="108"/>
      <c r="CB48" s="106"/>
      <c r="CC48" s="108"/>
      <c r="CD48" s="106"/>
      <c r="CE48" s="108"/>
      <c r="CF48" s="189">
        <f t="shared" si="8"/>
        <v>0</v>
      </c>
      <c r="CG48" s="190"/>
      <c r="CH48" s="9"/>
    </row>
    <row r="49" spans="1:86" s="51" customFormat="1" ht="24" customHeight="1" x14ac:dyDescent="0.35">
      <c r="A49" s="9"/>
      <c r="B49" s="231" t="s">
        <v>97</v>
      </c>
      <c r="C49" s="232"/>
      <c r="D49" s="232"/>
      <c r="E49" s="232"/>
      <c r="F49" s="233"/>
      <c r="G49" s="234" t="s">
        <v>40</v>
      </c>
      <c r="H49" s="235"/>
      <c r="I49" s="235"/>
      <c r="J49" s="235"/>
      <c r="K49" s="235"/>
      <c r="L49" s="235"/>
      <c r="M49" s="235"/>
      <c r="N49" s="235"/>
      <c r="O49" s="235"/>
      <c r="P49" s="235"/>
      <c r="Q49" s="235"/>
      <c r="R49" s="235"/>
      <c r="S49" s="235"/>
      <c r="T49" s="235"/>
      <c r="U49" s="235"/>
      <c r="V49" s="235"/>
      <c r="W49" s="235"/>
      <c r="X49" s="235"/>
      <c r="Y49" s="236"/>
      <c r="Z49" s="9"/>
      <c r="AA49" s="106"/>
      <c r="AB49" s="107"/>
      <c r="AC49" s="107"/>
      <c r="AD49" s="108"/>
      <c r="AE49" s="9"/>
      <c r="AF49" s="118"/>
      <c r="AG49" s="119"/>
      <c r="AH49" s="120"/>
      <c r="AI49" s="9"/>
      <c r="AJ49" s="106"/>
      <c r="AK49" s="107"/>
      <c r="AL49" s="108"/>
      <c r="AM49" s="106"/>
      <c r="AN49" s="107"/>
      <c r="AO49" s="108"/>
      <c r="AP49" s="106"/>
      <c r="AQ49" s="107"/>
      <c r="AR49" s="108"/>
      <c r="AS49" s="106"/>
      <c r="AT49" s="107"/>
      <c r="AU49" s="108"/>
      <c r="AV49" s="106"/>
      <c r="AW49" s="107"/>
      <c r="AX49" s="108"/>
      <c r="AZ49" s="61"/>
      <c r="BA49" s="61"/>
      <c r="BB49" s="61"/>
      <c r="BC49" s="61"/>
      <c r="BD49" s="53"/>
      <c r="BE49" s="61"/>
      <c r="BF49" s="61"/>
      <c r="BG49" s="61"/>
      <c r="BH49" s="9"/>
      <c r="BI49" s="53"/>
      <c r="BJ49" s="53"/>
      <c r="BK49" s="53"/>
      <c r="BL49" s="53"/>
      <c r="BM49" s="53"/>
      <c r="BN49" s="53"/>
      <c r="BO49" s="171">
        <f t="shared" si="7"/>
        <v>0</v>
      </c>
      <c r="BP49" s="172"/>
      <c r="BQ49" s="172"/>
      <c r="BR49" s="172"/>
      <c r="BS49" s="173"/>
      <c r="BT49" s="164">
        <f>SUM(100/BO121)*BO49</f>
        <v>0</v>
      </c>
      <c r="BU49" s="165"/>
      <c r="BV49" s="166"/>
      <c r="BW49" s="9"/>
      <c r="BX49" s="106"/>
      <c r="BY49" s="108"/>
      <c r="BZ49" s="106"/>
      <c r="CA49" s="108"/>
      <c r="CB49" s="106"/>
      <c r="CC49" s="108"/>
      <c r="CD49" s="106"/>
      <c r="CE49" s="108"/>
      <c r="CF49" s="189">
        <f t="shared" si="8"/>
        <v>0</v>
      </c>
      <c r="CG49" s="190"/>
      <c r="CH49" s="9"/>
    </row>
    <row r="50" spans="1:86" s="51" customFormat="1" ht="24" customHeight="1" x14ac:dyDescent="0.35">
      <c r="A50" s="9"/>
      <c r="B50" s="231" t="s">
        <v>98</v>
      </c>
      <c r="C50" s="232"/>
      <c r="D50" s="232"/>
      <c r="E50" s="232"/>
      <c r="F50" s="233"/>
      <c r="G50" s="234" t="s">
        <v>28</v>
      </c>
      <c r="H50" s="235"/>
      <c r="I50" s="235"/>
      <c r="J50" s="235"/>
      <c r="K50" s="235"/>
      <c r="L50" s="235"/>
      <c r="M50" s="235"/>
      <c r="N50" s="235"/>
      <c r="O50" s="235"/>
      <c r="P50" s="235"/>
      <c r="Q50" s="235"/>
      <c r="R50" s="235"/>
      <c r="S50" s="235"/>
      <c r="T50" s="235"/>
      <c r="U50" s="235"/>
      <c r="V50" s="235"/>
      <c r="W50" s="235"/>
      <c r="X50" s="235"/>
      <c r="Y50" s="236"/>
      <c r="Z50" s="9"/>
      <c r="AA50" s="106"/>
      <c r="AB50" s="107"/>
      <c r="AC50" s="107"/>
      <c r="AD50" s="108"/>
      <c r="AE50" s="9"/>
      <c r="AF50" s="118"/>
      <c r="AG50" s="119"/>
      <c r="AH50" s="120"/>
      <c r="AI50" s="9"/>
      <c r="AJ50" s="106"/>
      <c r="AK50" s="107"/>
      <c r="AL50" s="108"/>
      <c r="AM50" s="106"/>
      <c r="AN50" s="107"/>
      <c r="AO50" s="108"/>
      <c r="AP50" s="106"/>
      <c r="AQ50" s="107"/>
      <c r="AR50" s="108"/>
      <c r="AS50" s="106"/>
      <c r="AT50" s="107"/>
      <c r="AU50" s="108"/>
      <c r="AV50" s="106"/>
      <c r="AW50" s="107"/>
      <c r="AX50" s="108"/>
      <c r="AZ50" s="61"/>
      <c r="BA50" s="61"/>
      <c r="BB50" s="61"/>
      <c r="BC50" s="61"/>
      <c r="BD50" s="53"/>
      <c r="BE50" s="61"/>
      <c r="BF50" s="61"/>
      <c r="BG50" s="61"/>
      <c r="BH50" s="9"/>
      <c r="BI50" s="53"/>
      <c r="BJ50" s="53"/>
      <c r="BK50" s="53"/>
      <c r="BL50" s="53"/>
      <c r="BM50" s="53"/>
      <c r="BN50" s="53"/>
      <c r="BO50" s="171">
        <f t="shared" si="7"/>
        <v>0</v>
      </c>
      <c r="BP50" s="172"/>
      <c r="BQ50" s="172"/>
      <c r="BR50" s="172"/>
      <c r="BS50" s="173"/>
      <c r="BT50" s="164">
        <f>SUM(100/BO121)*BO50</f>
        <v>0</v>
      </c>
      <c r="BU50" s="165"/>
      <c r="BV50" s="166"/>
      <c r="BW50" s="9"/>
      <c r="BX50" s="106"/>
      <c r="BY50" s="108"/>
      <c r="BZ50" s="106"/>
      <c r="CA50" s="108"/>
      <c r="CB50" s="106"/>
      <c r="CC50" s="108"/>
      <c r="CD50" s="106"/>
      <c r="CE50" s="108"/>
      <c r="CF50" s="189">
        <f t="shared" si="8"/>
        <v>0</v>
      </c>
      <c r="CG50" s="190"/>
      <c r="CH50" s="9"/>
    </row>
    <row r="51" spans="1:86" s="51" customFormat="1" ht="24" customHeight="1" x14ac:dyDescent="0.35">
      <c r="A51" s="9"/>
      <c r="B51" s="231" t="s">
        <v>99</v>
      </c>
      <c r="C51" s="232"/>
      <c r="D51" s="232"/>
      <c r="E51" s="232"/>
      <c r="F51" s="233"/>
      <c r="G51" s="234" t="s">
        <v>193</v>
      </c>
      <c r="H51" s="235"/>
      <c r="I51" s="235"/>
      <c r="J51" s="235"/>
      <c r="K51" s="235"/>
      <c r="L51" s="235"/>
      <c r="M51" s="235"/>
      <c r="N51" s="235"/>
      <c r="O51" s="235"/>
      <c r="P51" s="235"/>
      <c r="Q51" s="235"/>
      <c r="R51" s="235"/>
      <c r="S51" s="235"/>
      <c r="T51" s="235"/>
      <c r="U51" s="235"/>
      <c r="V51" s="235"/>
      <c r="W51" s="235"/>
      <c r="X51" s="235"/>
      <c r="Y51" s="236"/>
      <c r="Z51" s="9"/>
      <c r="AA51" s="106"/>
      <c r="AB51" s="107"/>
      <c r="AC51" s="107"/>
      <c r="AD51" s="108"/>
      <c r="AE51" s="9"/>
      <c r="AF51" s="118"/>
      <c r="AG51" s="119"/>
      <c r="AH51" s="120"/>
      <c r="AI51" s="9"/>
      <c r="AJ51" s="106"/>
      <c r="AK51" s="107"/>
      <c r="AL51" s="108"/>
      <c r="AM51" s="106"/>
      <c r="AN51" s="107"/>
      <c r="AO51" s="108"/>
      <c r="AP51" s="106"/>
      <c r="AQ51" s="107"/>
      <c r="AR51" s="108"/>
      <c r="AS51" s="106"/>
      <c r="AT51" s="107"/>
      <c r="AU51" s="108"/>
      <c r="AV51" s="106"/>
      <c r="AW51" s="107"/>
      <c r="AX51" s="108"/>
      <c r="AZ51" s="61"/>
      <c r="BA51" s="61"/>
      <c r="BB51" s="61"/>
      <c r="BC51" s="61"/>
      <c r="BD51" s="53"/>
      <c r="BE51" s="61"/>
      <c r="BF51" s="61"/>
      <c r="BG51" s="61"/>
      <c r="BH51" s="9"/>
      <c r="BI51" s="53"/>
      <c r="BJ51" s="53"/>
      <c r="BK51" s="53"/>
      <c r="BL51" s="53"/>
      <c r="BM51" s="53"/>
      <c r="BN51" s="53"/>
      <c r="BO51" s="171">
        <f t="shared" si="7"/>
        <v>0</v>
      </c>
      <c r="BP51" s="172"/>
      <c r="BQ51" s="172"/>
      <c r="BR51" s="172"/>
      <c r="BS51" s="173"/>
      <c r="BT51" s="164">
        <f>SUM(100/BO121)*BO51</f>
        <v>0</v>
      </c>
      <c r="BU51" s="165"/>
      <c r="BV51" s="166"/>
      <c r="BW51" s="9"/>
      <c r="BX51" s="106"/>
      <c r="BY51" s="108"/>
      <c r="BZ51" s="106"/>
      <c r="CA51" s="108"/>
      <c r="CB51" s="106"/>
      <c r="CC51" s="108"/>
      <c r="CD51" s="106"/>
      <c r="CE51" s="108"/>
      <c r="CF51" s="189">
        <f t="shared" si="8"/>
        <v>0</v>
      </c>
      <c r="CG51" s="190"/>
      <c r="CH51" s="9"/>
    </row>
    <row r="52" spans="1:86" s="51" customFormat="1" ht="24" customHeight="1" x14ac:dyDescent="0.35">
      <c r="A52" s="9"/>
      <c r="B52" s="231" t="s">
        <v>100</v>
      </c>
      <c r="C52" s="232"/>
      <c r="D52" s="232"/>
      <c r="E52" s="232"/>
      <c r="F52" s="233"/>
      <c r="G52" s="234" t="s">
        <v>29</v>
      </c>
      <c r="H52" s="235"/>
      <c r="I52" s="235"/>
      <c r="J52" s="235"/>
      <c r="K52" s="235"/>
      <c r="L52" s="235"/>
      <c r="M52" s="235"/>
      <c r="N52" s="235"/>
      <c r="O52" s="235"/>
      <c r="P52" s="235"/>
      <c r="Q52" s="235"/>
      <c r="R52" s="235"/>
      <c r="S52" s="235"/>
      <c r="T52" s="235"/>
      <c r="U52" s="235"/>
      <c r="V52" s="235"/>
      <c r="W52" s="235"/>
      <c r="X52" s="235"/>
      <c r="Y52" s="236"/>
      <c r="Z52" s="9"/>
      <c r="AA52" s="106"/>
      <c r="AB52" s="107"/>
      <c r="AC52" s="107"/>
      <c r="AD52" s="108"/>
      <c r="AE52" s="9"/>
      <c r="AF52" s="118"/>
      <c r="AG52" s="119"/>
      <c r="AH52" s="120"/>
      <c r="AI52" s="9"/>
      <c r="AJ52" s="106"/>
      <c r="AK52" s="107"/>
      <c r="AL52" s="108"/>
      <c r="AM52" s="106"/>
      <c r="AN52" s="107"/>
      <c r="AO52" s="108"/>
      <c r="AP52" s="106"/>
      <c r="AQ52" s="107"/>
      <c r="AR52" s="108"/>
      <c r="AS52" s="106"/>
      <c r="AT52" s="107"/>
      <c r="AU52" s="108"/>
      <c r="AV52" s="106"/>
      <c r="AW52" s="107"/>
      <c r="AX52" s="108"/>
      <c r="AZ52" s="61"/>
      <c r="BA52" s="61"/>
      <c r="BB52" s="61"/>
      <c r="BC52" s="61"/>
      <c r="BD52" s="53"/>
      <c r="BE52" s="61"/>
      <c r="BF52" s="61"/>
      <c r="BG52" s="61"/>
      <c r="BH52" s="9"/>
      <c r="BI52" s="53"/>
      <c r="BJ52" s="53"/>
      <c r="BK52" s="53"/>
      <c r="BL52" s="53"/>
      <c r="BM52" s="53"/>
      <c r="BN52" s="53"/>
      <c r="BO52" s="171">
        <f t="shared" si="7"/>
        <v>0</v>
      </c>
      <c r="BP52" s="172"/>
      <c r="BQ52" s="172"/>
      <c r="BR52" s="172"/>
      <c r="BS52" s="173"/>
      <c r="BT52" s="164">
        <f>SUM(100/BO121)*BO52</f>
        <v>0</v>
      </c>
      <c r="BU52" s="165"/>
      <c r="BV52" s="166"/>
      <c r="BW52" s="9"/>
      <c r="BX52" s="106"/>
      <c r="BY52" s="108"/>
      <c r="BZ52" s="106"/>
      <c r="CA52" s="108"/>
      <c r="CB52" s="106"/>
      <c r="CC52" s="108"/>
      <c r="CD52" s="106"/>
      <c r="CE52" s="108"/>
      <c r="CF52" s="189">
        <f t="shared" si="8"/>
        <v>0</v>
      </c>
      <c r="CG52" s="190"/>
      <c r="CH52" s="9"/>
    </row>
    <row r="53" spans="1:86" s="51" customFormat="1" ht="24" customHeight="1" x14ac:dyDescent="0.35">
      <c r="A53" s="9"/>
      <c r="B53" s="231" t="s">
        <v>101</v>
      </c>
      <c r="C53" s="232"/>
      <c r="D53" s="232"/>
      <c r="E53" s="232"/>
      <c r="F53" s="233"/>
      <c r="G53" s="234" t="s">
        <v>12</v>
      </c>
      <c r="H53" s="235"/>
      <c r="I53" s="235"/>
      <c r="J53" s="235"/>
      <c r="K53" s="235"/>
      <c r="L53" s="235"/>
      <c r="M53" s="235"/>
      <c r="N53" s="235"/>
      <c r="O53" s="235"/>
      <c r="P53" s="235"/>
      <c r="Q53" s="235"/>
      <c r="R53" s="235"/>
      <c r="S53" s="235"/>
      <c r="T53" s="235"/>
      <c r="U53" s="235"/>
      <c r="V53" s="235"/>
      <c r="W53" s="235"/>
      <c r="X53" s="235"/>
      <c r="Y53" s="236"/>
      <c r="Z53" s="9"/>
      <c r="AA53" s="106"/>
      <c r="AB53" s="107"/>
      <c r="AC53" s="107"/>
      <c r="AD53" s="108"/>
      <c r="AE53" s="9"/>
      <c r="AF53" s="118"/>
      <c r="AG53" s="119"/>
      <c r="AH53" s="120"/>
      <c r="AI53" s="9"/>
      <c r="AJ53" s="106"/>
      <c r="AK53" s="107"/>
      <c r="AL53" s="108"/>
      <c r="AM53" s="106"/>
      <c r="AN53" s="107"/>
      <c r="AO53" s="108"/>
      <c r="AP53" s="106"/>
      <c r="AQ53" s="107"/>
      <c r="AR53" s="108"/>
      <c r="AS53" s="106"/>
      <c r="AT53" s="107"/>
      <c r="AU53" s="108"/>
      <c r="AV53" s="106"/>
      <c r="AW53" s="107"/>
      <c r="AX53" s="108"/>
      <c r="AZ53" s="61"/>
      <c r="BA53" s="61"/>
      <c r="BB53" s="61"/>
      <c r="BC53" s="61"/>
      <c r="BD53" s="53"/>
      <c r="BE53" s="61"/>
      <c r="BF53" s="61"/>
      <c r="BG53" s="61"/>
      <c r="BH53" s="9"/>
      <c r="BI53" s="53"/>
      <c r="BJ53" s="53"/>
      <c r="BK53" s="53"/>
      <c r="BL53" s="53"/>
      <c r="BM53" s="53"/>
      <c r="BN53" s="53"/>
      <c r="BO53" s="171">
        <f t="shared" si="7"/>
        <v>0</v>
      </c>
      <c r="BP53" s="172"/>
      <c r="BQ53" s="172"/>
      <c r="BR53" s="172"/>
      <c r="BS53" s="173"/>
      <c r="BT53" s="164">
        <f>SUM(100/BO121)*BO53</f>
        <v>0</v>
      </c>
      <c r="BU53" s="165"/>
      <c r="BV53" s="166"/>
      <c r="BW53" s="9"/>
      <c r="BX53" s="106"/>
      <c r="BY53" s="108"/>
      <c r="BZ53" s="106"/>
      <c r="CA53" s="108"/>
      <c r="CB53" s="106"/>
      <c r="CC53" s="108"/>
      <c r="CD53" s="106"/>
      <c r="CE53" s="108"/>
      <c r="CF53" s="189">
        <f t="shared" si="8"/>
        <v>0</v>
      </c>
      <c r="CG53" s="190"/>
      <c r="CH53" s="9"/>
    </row>
    <row r="54" spans="1:86" s="51" customFormat="1" ht="24" customHeight="1" x14ac:dyDescent="0.35">
      <c r="A54" s="9"/>
      <c r="B54" s="231" t="s">
        <v>102</v>
      </c>
      <c r="C54" s="232"/>
      <c r="D54" s="232"/>
      <c r="E54" s="232"/>
      <c r="F54" s="233"/>
      <c r="G54" s="234" t="s">
        <v>13</v>
      </c>
      <c r="H54" s="235"/>
      <c r="I54" s="235"/>
      <c r="J54" s="235"/>
      <c r="K54" s="235"/>
      <c r="L54" s="235"/>
      <c r="M54" s="235"/>
      <c r="N54" s="235"/>
      <c r="O54" s="235"/>
      <c r="P54" s="235"/>
      <c r="Q54" s="235"/>
      <c r="R54" s="235"/>
      <c r="S54" s="235"/>
      <c r="T54" s="235"/>
      <c r="U54" s="235"/>
      <c r="V54" s="235"/>
      <c r="W54" s="235"/>
      <c r="X54" s="235"/>
      <c r="Y54" s="236"/>
      <c r="Z54" s="9"/>
      <c r="AA54" s="106"/>
      <c r="AB54" s="107"/>
      <c r="AC54" s="107"/>
      <c r="AD54" s="108"/>
      <c r="AE54" s="9"/>
      <c r="AF54" s="118"/>
      <c r="AG54" s="119"/>
      <c r="AH54" s="120"/>
      <c r="AI54" s="9"/>
      <c r="AJ54" s="106"/>
      <c r="AK54" s="107"/>
      <c r="AL54" s="108"/>
      <c r="AM54" s="106"/>
      <c r="AN54" s="107"/>
      <c r="AO54" s="108"/>
      <c r="AP54" s="106"/>
      <c r="AQ54" s="107"/>
      <c r="AR54" s="108"/>
      <c r="AS54" s="106"/>
      <c r="AT54" s="107"/>
      <c r="AU54" s="108"/>
      <c r="AV54" s="106"/>
      <c r="AW54" s="107"/>
      <c r="AX54" s="108"/>
      <c r="AZ54" s="61"/>
      <c r="BA54" s="61"/>
      <c r="BB54" s="61"/>
      <c r="BC54" s="61"/>
      <c r="BD54" s="53"/>
      <c r="BE54" s="61"/>
      <c r="BF54" s="61"/>
      <c r="BG54" s="61"/>
      <c r="BH54" s="9"/>
      <c r="BI54" s="53"/>
      <c r="BJ54" s="53"/>
      <c r="BK54" s="53"/>
      <c r="BL54" s="53"/>
      <c r="BM54" s="53"/>
      <c r="BN54" s="53"/>
      <c r="BO54" s="171">
        <f t="shared" si="7"/>
        <v>0</v>
      </c>
      <c r="BP54" s="172"/>
      <c r="BQ54" s="172"/>
      <c r="BR54" s="172"/>
      <c r="BS54" s="173"/>
      <c r="BT54" s="164">
        <f>SUM(100/BO121)*BO54</f>
        <v>0</v>
      </c>
      <c r="BU54" s="165"/>
      <c r="BV54" s="166"/>
      <c r="BW54" s="9"/>
      <c r="BX54" s="106"/>
      <c r="BY54" s="108"/>
      <c r="BZ54" s="106"/>
      <c r="CA54" s="108"/>
      <c r="CB54" s="106"/>
      <c r="CC54" s="108"/>
      <c r="CD54" s="106"/>
      <c r="CE54" s="108"/>
      <c r="CF54" s="189">
        <f t="shared" si="8"/>
        <v>0</v>
      </c>
      <c r="CG54" s="190"/>
      <c r="CH54" s="9"/>
    </row>
    <row r="55" spans="1:86" ht="4.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30"/>
      <c r="BJ55" s="30"/>
      <c r="BK55" s="30"/>
      <c r="BL55" s="30"/>
      <c r="BM55" s="30"/>
      <c r="BN55" s="30"/>
      <c r="BO55" s="30"/>
      <c r="BP55" s="30"/>
      <c r="BQ55" s="30"/>
      <c r="BR55" s="30"/>
      <c r="BS55" s="30"/>
      <c r="BT55" s="41"/>
      <c r="BU55" s="42"/>
      <c r="BV55" s="42"/>
      <c r="BW55" s="9"/>
      <c r="BX55" s="8"/>
      <c r="BY55" s="8"/>
      <c r="BZ55" s="8"/>
      <c r="CA55" s="8"/>
      <c r="CB55" s="8"/>
      <c r="CC55" s="8"/>
      <c r="CD55" s="8"/>
      <c r="CE55" s="8"/>
      <c r="CF55" s="8"/>
      <c r="CG55" s="8"/>
      <c r="CH55" s="1"/>
    </row>
    <row r="56" spans="1:86" s="51" customFormat="1" ht="24" customHeight="1" x14ac:dyDescent="0.35">
      <c r="A56" s="9"/>
      <c r="B56" s="194" t="s">
        <v>89</v>
      </c>
      <c r="C56" s="195"/>
      <c r="D56" s="195"/>
      <c r="E56" s="195"/>
      <c r="F56" s="196"/>
      <c r="G56" s="103" t="s">
        <v>103</v>
      </c>
      <c r="H56" s="104"/>
      <c r="I56" s="104"/>
      <c r="J56" s="104"/>
      <c r="K56" s="104"/>
      <c r="L56" s="104"/>
      <c r="M56" s="104"/>
      <c r="N56" s="104"/>
      <c r="O56" s="104"/>
      <c r="P56" s="104"/>
      <c r="Q56" s="104"/>
      <c r="R56" s="104"/>
      <c r="S56" s="104"/>
      <c r="T56" s="104"/>
      <c r="U56" s="104"/>
      <c r="V56" s="104"/>
      <c r="W56" s="104"/>
      <c r="X56" s="104"/>
      <c r="Y56" s="105"/>
      <c r="Z56" s="8"/>
      <c r="AA56" s="189">
        <f>SUM(AA43:AA54)</f>
        <v>0</v>
      </c>
      <c r="AB56" s="201"/>
      <c r="AC56" s="201"/>
      <c r="AD56" s="190"/>
      <c r="AE56" s="8"/>
      <c r="AF56" s="174">
        <f>MEDIAN(AF43:AF54)</f>
        <v>0</v>
      </c>
      <c r="AG56" s="175"/>
      <c r="AH56" s="176"/>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56">
        <f>SUM(AA43:AD54)</f>
        <v>0</v>
      </c>
      <c r="BJ56" s="56">
        <f t="shared" ref="BJ56:BN56" si="9">SUM(BJ43:BJ54)</f>
        <v>0</v>
      </c>
      <c r="BK56" s="56">
        <f t="shared" si="9"/>
        <v>0</v>
      </c>
      <c r="BL56" s="56">
        <f t="shared" si="9"/>
        <v>0</v>
      </c>
      <c r="BM56" s="56">
        <f t="shared" si="9"/>
        <v>0</v>
      </c>
      <c r="BN56" s="56">
        <f t="shared" si="9"/>
        <v>0</v>
      </c>
      <c r="BO56" s="171">
        <f>SUM(BI56+BJ56+BK56+BL56+BM56+BN56)</f>
        <v>0</v>
      </c>
      <c r="BP56" s="172"/>
      <c r="BQ56" s="172"/>
      <c r="BR56" s="172"/>
      <c r="BS56" s="173"/>
      <c r="BT56" s="164">
        <f>SUM(100/BO121)*BO56</f>
        <v>0</v>
      </c>
      <c r="BU56" s="165"/>
      <c r="BV56" s="166"/>
      <c r="BW56" s="8"/>
      <c r="BX56" s="174">
        <f>SUM(BX43:BX54)</f>
        <v>0</v>
      </c>
      <c r="BY56" s="176"/>
      <c r="BZ56" s="174">
        <f>SUM(BZ43:BZ54)</f>
        <v>0</v>
      </c>
      <c r="CA56" s="176"/>
      <c r="CB56" s="174">
        <f>SUM(CB43:CB54)</f>
        <v>0</v>
      </c>
      <c r="CC56" s="176"/>
      <c r="CD56" s="174">
        <f>SUM(CD43:CD54)</f>
        <v>0</v>
      </c>
      <c r="CE56" s="176"/>
      <c r="CF56" s="174">
        <f>SUM(CF43:CF54)</f>
        <v>0</v>
      </c>
      <c r="CG56" s="176"/>
      <c r="CH56" s="9"/>
    </row>
    <row r="57" spans="1:86" ht="4.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8"/>
      <c r="BY57" s="8"/>
      <c r="BZ57" s="8"/>
      <c r="CA57" s="8"/>
      <c r="CB57" s="8"/>
      <c r="CC57" s="8"/>
      <c r="CD57" s="8"/>
      <c r="CE57" s="8"/>
      <c r="CF57" s="8"/>
      <c r="CG57" s="8"/>
      <c r="CH57" s="1"/>
    </row>
    <row r="58" spans="1:86" ht="4.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8"/>
      <c r="BY58" s="8"/>
      <c r="BZ58" s="8"/>
      <c r="CA58" s="8"/>
      <c r="CB58" s="8"/>
      <c r="CC58" s="8"/>
      <c r="CD58" s="8"/>
      <c r="CE58" s="8"/>
      <c r="CF58" s="8"/>
      <c r="CG58" s="8"/>
      <c r="CH58" s="1"/>
    </row>
    <row r="59" spans="1:86" s="51" customFormat="1" ht="24" customHeight="1" x14ac:dyDescent="0.35">
      <c r="A59" s="9"/>
      <c r="B59" s="194" t="s">
        <v>104</v>
      </c>
      <c r="C59" s="195"/>
      <c r="D59" s="195"/>
      <c r="E59" s="195"/>
      <c r="F59" s="196"/>
      <c r="G59" s="194" t="s">
        <v>90</v>
      </c>
      <c r="H59" s="195"/>
      <c r="I59" s="195"/>
      <c r="J59" s="195"/>
      <c r="K59" s="195"/>
      <c r="L59" s="195"/>
      <c r="M59" s="195"/>
      <c r="N59" s="195"/>
      <c r="O59" s="195"/>
      <c r="P59" s="195"/>
      <c r="Q59" s="195"/>
      <c r="R59" s="195"/>
      <c r="S59" s="195"/>
      <c r="T59" s="195"/>
      <c r="U59" s="195"/>
      <c r="V59" s="195"/>
      <c r="W59" s="195"/>
      <c r="X59" s="195"/>
      <c r="Y59" s="196"/>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191"/>
      <c r="BY59" s="191"/>
      <c r="BZ59" s="191"/>
      <c r="CA59" s="191"/>
      <c r="CB59" s="191"/>
      <c r="CC59" s="191"/>
      <c r="CD59" s="191"/>
      <c r="CE59" s="191"/>
      <c r="CF59" s="191"/>
      <c r="CG59" s="191"/>
      <c r="CH59" s="9"/>
    </row>
    <row r="60" spans="1:86" s="51" customFormat="1" ht="24" customHeight="1" x14ac:dyDescent="0.35">
      <c r="A60" s="9"/>
      <c r="B60" s="109" t="s">
        <v>105</v>
      </c>
      <c r="C60" s="110"/>
      <c r="D60" s="110"/>
      <c r="E60" s="110"/>
      <c r="F60" s="111"/>
      <c r="G60" s="234" t="s">
        <v>194</v>
      </c>
      <c r="H60" s="235"/>
      <c r="I60" s="235"/>
      <c r="J60" s="235"/>
      <c r="K60" s="235"/>
      <c r="L60" s="235"/>
      <c r="M60" s="235"/>
      <c r="N60" s="235"/>
      <c r="O60" s="235"/>
      <c r="P60" s="235"/>
      <c r="Q60" s="235"/>
      <c r="R60" s="235"/>
      <c r="S60" s="235"/>
      <c r="T60" s="235"/>
      <c r="U60" s="235"/>
      <c r="V60" s="235"/>
      <c r="W60" s="235"/>
      <c r="X60" s="235"/>
      <c r="Y60" s="236"/>
      <c r="Z60" s="9"/>
      <c r="AA60" s="106"/>
      <c r="AB60" s="107"/>
      <c r="AC60" s="107"/>
      <c r="AD60" s="108"/>
      <c r="AE60" s="9"/>
      <c r="AF60" s="118">
        <v>0</v>
      </c>
      <c r="AG60" s="119"/>
      <c r="AH60" s="120"/>
      <c r="AI60" s="9"/>
      <c r="AJ60" s="106"/>
      <c r="AK60" s="107"/>
      <c r="AL60" s="108"/>
      <c r="AM60" s="106"/>
      <c r="AN60" s="107"/>
      <c r="AO60" s="108"/>
      <c r="AP60" s="106"/>
      <c r="AQ60" s="107"/>
      <c r="AR60" s="108"/>
      <c r="AS60" s="106"/>
      <c r="AT60" s="107"/>
      <c r="AU60" s="108"/>
      <c r="AV60" s="106"/>
      <c r="AW60" s="107"/>
      <c r="AX60" s="108"/>
      <c r="AZ60" s="61"/>
      <c r="BA60" s="61"/>
      <c r="BB60" s="61"/>
      <c r="BC60" s="61"/>
      <c r="BD60" s="61"/>
      <c r="BE60" s="61"/>
      <c r="BF60" s="61"/>
      <c r="BG60" s="61"/>
      <c r="BH60" s="9"/>
      <c r="BI60" s="53"/>
      <c r="BJ60" s="53"/>
      <c r="BK60" s="53"/>
      <c r="BL60" s="55"/>
      <c r="BM60" s="53"/>
      <c r="BN60" s="53"/>
      <c r="BO60" s="171">
        <f t="shared" ref="BO60:BO62" si="10">SUM(BI60+BJ60+BK60+BL60+BM60+BN60)</f>
        <v>0</v>
      </c>
      <c r="BP60" s="172"/>
      <c r="BQ60" s="172"/>
      <c r="BR60" s="172"/>
      <c r="BS60" s="173"/>
      <c r="BT60" s="164">
        <f>SUM(100/BO121)*BO60</f>
        <v>0</v>
      </c>
      <c r="BU60" s="165"/>
      <c r="BV60" s="166"/>
      <c r="BW60" s="9"/>
      <c r="BX60" s="106"/>
      <c r="BY60" s="108"/>
      <c r="BZ60" s="106"/>
      <c r="CA60" s="108"/>
      <c r="CB60" s="106"/>
      <c r="CC60" s="108"/>
      <c r="CD60" s="106"/>
      <c r="CE60" s="108"/>
      <c r="CF60" s="189">
        <f>SUM(BX60+BZ60+CB60+CD60)</f>
        <v>0</v>
      </c>
      <c r="CG60" s="190"/>
      <c r="CH60" s="9"/>
    </row>
    <row r="61" spans="1:86" s="51" customFormat="1" ht="24" customHeight="1" x14ac:dyDescent="0.35">
      <c r="A61" s="9"/>
      <c r="B61" s="109" t="s">
        <v>106</v>
      </c>
      <c r="C61" s="110"/>
      <c r="D61" s="110"/>
      <c r="E61" s="110"/>
      <c r="F61" s="111"/>
      <c r="G61" s="234" t="s">
        <v>214</v>
      </c>
      <c r="H61" s="235"/>
      <c r="I61" s="235"/>
      <c r="J61" s="235"/>
      <c r="K61" s="235"/>
      <c r="L61" s="235"/>
      <c r="M61" s="235"/>
      <c r="N61" s="235"/>
      <c r="O61" s="235"/>
      <c r="P61" s="235"/>
      <c r="Q61" s="235"/>
      <c r="R61" s="235"/>
      <c r="S61" s="235"/>
      <c r="T61" s="235"/>
      <c r="U61" s="235"/>
      <c r="V61" s="235"/>
      <c r="W61" s="235"/>
      <c r="X61" s="235"/>
      <c r="Y61" s="236"/>
      <c r="Z61" s="9"/>
      <c r="AA61" s="106"/>
      <c r="AB61" s="107"/>
      <c r="AC61" s="107"/>
      <c r="AD61" s="108"/>
      <c r="AE61" s="9"/>
      <c r="AF61" s="118"/>
      <c r="AG61" s="119"/>
      <c r="AH61" s="120"/>
      <c r="AI61" s="9"/>
      <c r="AJ61" s="106"/>
      <c r="AK61" s="107"/>
      <c r="AL61" s="108"/>
      <c r="AM61" s="106"/>
      <c r="AN61" s="107"/>
      <c r="AO61" s="108"/>
      <c r="AP61" s="106"/>
      <c r="AQ61" s="107"/>
      <c r="AR61" s="108"/>
      <c r="AS61" s="106"/>
      <c r="AT61" s="107"/>
      <c r="AU61" s="108"/>
      <c r="AV61" s="106"/>
      <c r="AW61" s="107"/>
      <c r="AX61" s="108"/>
      <c r="AZ61" s="61"/>
      <c r="BA61" s="61"/>
      <c r="BB61" s="61"/>
      <c r="BC61" s="61"/>
      <c r="BD61" s="61"/>
      <c r="BE61" s="61"/>
      <c r="BF61" s="61"/>
      <c r="BG61" s="61"/>
      <c r="BH61" s="9"/>
      <c r="BI61" s="53"/>
      <c r="BJ61" s="53"/>
      <c r="BK61" s="53"/>
      <c r="BL61" s="55"/>
      <c r="BM61" s="53"/>
      <c r="BN61" s="53"/>
      <c r="BO61" s="171">
        <f t="shared" si="10"/>
        <v>0</v>
      </c>
      <c r="BP61" s="172"/>
      <c r="BQ61" s="172"/>
      <c r="BR61" s="172"/>
      <c r="BS61" s="173"/>
      <c r="BT61" s="164">
        <f>SUM(100/BO121)*BO61</f>
        <v>0</v>
      </c>
      <c r="BU61" s="165"/>
      <c r="BV61" s="166"/>
      <c r="BW61" s="9"/>
      <c r="BX61" s="106"/>
      <c r="BY61" s="108"/>
      <c r="BZ61" s="106"/>
      <c r="CA61" s="108"/>
      <c r="CB61" s="106"/>
      <c r="CC61" s="108"/>
      <c r="CD61" s="106"/>
      <c r="CE61" s="108"/>
      <c r="CF61" s="189">
        <f>SUM(BX61+BZ61+CB61+CD61)</f>
        <v>0</v>
      </c>
      <c r="CG61" s="190"/>
      <c r="CH61" s="9"/>
    </row>
    <row r="62" spans="1:86" s="51" customFormat="1" ht="24" customHeight="1" x14ac:dyDescent="0.35">
      <c r="A62" s="9"/>
      <c r="B62" s="109" t="s">
        <v>107</v>
      </c>
      <c r="C62" s="110"/>
      <c r="D62" s="110"/>
      <c r="E62" s="110"/>
      <c r="F62" s="111"/>
      <c r="G62" s="234" t="s">
        <v>41</v>
      </c>
      <c r="H62" s="235"/>
      <c r="I62" s="235"/>
      <c r="J62" s="235"/>
      <c r="K62" s="235"/>
      <c r="L62" s="235"/>
      <c r="M62" s="235"/>
      <c r="N62" s="235"/>
      <c r="O62" s="235"/>
      <c r="P62" s="235"/>
      <c r="Q62" s="235"/>
      <c r="R62" s="235"/>
      <c r="S62" s="235"/>
      <c r="T62" s="235"/>
      <c r="U62" s="235"/>
      <c r="V62" s="235"/>
      <c r="W62" s="235"/>
      <c r="X62" s="235"/>
      <c r="Y62" s="236"/>
      <c r="Z62" s="9"/>
      <c r="AA62" s="106"/>
      <c r="AB62" s="107"/>
      <c r="AC62" s="107"/>
      <c r="AD62" s="108"/>
      <c r="AE62" s="9"/>
      <c r="AF62" s="118"/>
      <c r="AG62" s="119"/>
      <c r="AH62" s="120"/>
      <c r="AI62" s="9"/>
      <c r="AJ62" s="106"/>
      <c r="AK62" s="107"/>
      <c r="AL62" s="108"/>
      <c r="AM62" s="106"/>
      <c r="AN62" s="107"/>
      <c r="AO62" s="108"/>
      <c r="AP62" s="106"/>
      <c r="AQ62" s="107"/>
      <c r="AR62" s="108"/>
      <c r="AS62" s="106"/>
      <c r="AT62" s="107"/>
      <c r="AU62" s="108"/>
      <c r="AV62" s="106"/>
      <c r="AW62" s="107"/>
      <c r="AX62" s="108"/>
      <c r="AZ62" s="61"/>
      <c r="BA62" s="61"/>
      <c r="BB62" s="53"/>
      <c r="BC62" s="61"/>
      <c r="BD62" s="61"/>
      <c r="BE62" s="61"/>
      <c r="BF62" s="61"/>
      <c r="BG62" s="61"/>
      <c r="BH62" s="9"/>
      <c r="BI62" s="53"/>
      <c r="BJ62" s="53"/>
      <c r="BK62" s="53"/>
      <c r="BL62" s="55"/>
      <c r="BM62" s="53"/>
      <c r="BN62" s="53"/>
      <c r="BO62" s="171">
        <f t="shared" si="10"/>
        <v>0</v>
      </c>
      <c r="BP62" s="172"/>
      <c r="BQ62" s="172"/>
      <c r="BR62" s="172"/>
      <c r="BS62" s="173"/>
      <c r="BT62" s="164">
        <f>SUM(100/BO121)*BO62</f>
        <v>0</v>
      </c>
      <c r="BU62" s="165"/>
      <c r="BV62" s="166"/>
      <c r="BW62" s="9"/>
      <c r="BX62" s="106"/>
      <c r="BY62" s="108"/>
      <c r="BZ62" s="106"/>
      <c r="CA62" s="108"/>
      <c r="CB62" s="106"/>
      <c r="CC62" s="108"/>
      <c r="CD62" s="106"/>
      <c r="CE62" s="108"/>
      <c r="CF62" s="189">
        <f>SUM(BX62+BZ62+CB62+CD62)</f>
        <v>0</v>
      </c>
      <c r="CG62" s="190"/>
      <c r="CH62" s="9"/>
    </row>
    <row r="63" spans="1:86" ht="4.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43"/>
      <c r="BU63" s="43"/>
      <c r="BV63" s="43"/>
      <c r="BW63" s="9"/>
      <c r="BX63" s="8"/>
      <c r="BY63" s="8"/>
      <c r="BZ63" s="8"/>
      <c r="CA63" s="8"/>
      <c r="CB63" s="8"/>
      <c r="CC63" s="8"/>
      <c r="CD63" s="8"/>
      <c r="CE63" s="8"/>
      <c r="CF63" s="8"/>
      <c r="CG63" s="8"/>
      <c r="CH63" s="1"/>
    </row>
    <row r="64" spans="1:86" s="51" customFormat="1" ht="24" customHeight="1" x14ac:dyDescent="0.35">
      <c r="A64" s="9"/>
      <c r="B64" s="194" t="s">
        <v>104</v>
      </c>
      <c r="C64" s="195"/>
      <c r="D64" s="195"/>
      <c r="E64" s="195"/>
      <c r="F64" s="196"/>
      <c r="G64" s="103" t="s">
        <v>103</v>
      </c>
      <c r="H64" s="104"/>
      <c r="I64" s="104"/>
      <c r="J64" s="104"/>
      <c r="K64" s="104"/>
      <c r="L64" s="104"/>
      <c r="M64" s="104"/>
      <c r="N64" s="104"/>
      <c r="O64" s="104"/>
      <c r="P64" s="104"/>
      <c r="Q64" s="104"/>
      <c r="R64" s="104"/>
      <c r="S64" s="104"/>
      <c r="T64" s="104"/>
      <c r="U64" s="104"/>
      <c r="V64" s="104"/>
      <c r="W64" s="104"/>
      <c r="X64" s="104"/>
      <c r="Y64" s="105"/>
      <c r="Z64" s="8"/>
      <c r="AA64" s="189">
        <f>SUM(AA60:AA62)</f>
        <v>0</v>
      </c>
      <c r="AB64" s="201"/>
      <c r="AC64" s="201"/>
      <c r="AD64" s="190"/>
      <c r="AE64" s="8"/>
      <c r="AF64" s="174">
        <f>MEDIAN(AF60:AF62)</f>
        <v>0</v>
      </c>
      <c r="AG64" s="175"/>
      <c r="AH64" s="176"/>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56">
        <f t="shared" ref="BI64:BN64" si="11">SUM(BI60:BI62)</f>
        <v>0</v>
      </c>
      <c r="BJ64" s="56">
        <f t="shared" si="11"/>
        <v>0</v>
      </c>
      <c r="BK64" s="56">
        <f t="shared" si="11"/>
        <v>0</v>
      </c>
      <c r="BL64" s="56">
        <f t="shared" si="11"/>
        <v>0</v>
      </c>
      <c r="BM64" s="56">
        <f t="shared" si="11"/>
        <v>0</v>
      </c>
      <c r="BN64" s="56">
        <f t="shared" si="11"/>
        <v>0</v>
      </c>
      <c r="BO64" s="171">
        <f>SUM(BI64+BJ64+BK64+BL64+BM64+BN64)</f>
        <v>0</v>
      </c>
      <c r="BP64" s="172"/>
      <c r="BQ64" s="172"/>
      <c r="BR64" s="172"/>
      <c r="BS64" s="173"/>
      <c r="BT64" s="164">
        <f>SUM(100/BO121)*BO64</f>
        <v>0</v>
      </c>
      <c r="BU64" s="165"/>
      <c r="BV64" s="166"/>
      <c r="BW64" s="8"/>
      <c r="BX64" s="174">
        <f>SUM(BX60:BX62)</f>
        <v>0</v>
      </c>
      <c r="BY64" s="176"/>
      <c r="BZ64" s="174">
        <f>SUM(BZ60:BZ62)</f>
        <v>0</v>
      </c>
      <c r="CA64" s="176"/>
      <c r="CB64" s="174">
        <f>SUM(CB60:CB62)</f>
        <v>0</v>
      </c>
      <c r="CC64" s="176"/>
      <c r="CD64" s="174">
        <f>SUM(CD60:CD62)</f>
        <v>0</v>
      </c>
      <c r="CE64" s="176"/>
      <c r="CF64" s="174">
        <f>SUM(CF60:CF62)</f>
        <v>0</v>
      </c>
      <c r="CG64" s="176"/>
      <c r="CH64" s="9"/>
    </row>
    <row r="65" spans="1:86" ht="4.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8"/>
      <c r="BY65" s="8"/>
      <c r="BZ65" s="8"/>
      <c r="CA65" s="8"/>
      <c r="CB65" s="8"/>
      <c r="CC65" s="8"/>
      <c r="CD65" s="8"/>
      <c r="CE65" s="8"/>
      <c r="CF65" s="8"/>
      <c r="CG65" s="8"/>
      <c r="CH65" s="1"/>
    </row>
    <row r="66" spans="1:86" ht="4.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8"/>
      <c r="BY66" s="8"/>
      <c r="BZ66" s="8"/>
      <c r="CA66" s="8"/>
      <c r="CB66" s="8"/>
      <c r="CC66" s="8"/>
      <c r="CD66" s="8"/>
      <c r="CE66" s="8"/>
      <c r="CF66" s="8"/>
      <c r="CG66" s="8"/>
      <c r="CH66" s="1"/>
    </row>
    <row r="67" spans="1:86" ht="19.5" customHeight="1" x14ac:dyDescent="0.35">
      <c r="A67" s="1"/>
      <c r="B67" s="149" t="s">
        <v>54</v>
      </c>
      <c r="C67" s="150"/>
      <c r="D67" s="150"/>
      <c r="E67" s="150"/>
      <c r="F67" s="151"/>
      <c r="G67" s="149" t="s">
        <v>52</v>
      </c>
      <c r="H67" s="150"/>
      <c r="I67" s="150"/>
      <c r="J67" s="150"/>
      <c r="K67" s="150"/>
      <c r="L67" s="150"/>
      <c r="M67" s="150"/>
      <c r="N67" s="150"/>
      <c r="O67" s="150"/>
      <c r="P67" s="150"/>
      <c r="Q67" s="150"/>
      <c r="R67" s="150"/>
      <c r="S67" s="150"/>
      <c r="T67" s="150"/>
      <c r="U67" s="150"/>
      <c r="V67" s="150"/>
      <c r="W67" s="150"/>
      <c r="X67" s="150"/>
      <c r="Y67" s="151"/>
      <c r="Z67" s="1"/>
      <c r="AA67" s="205" t="s">
        <v>161</v>
      </c>
      <c r="AB67" s="206"/>
      <c r="AC67" s="206"/>
      <c r="AD67" s="207"/>
      <c r="AE67" s="1"/>
      <c r="AF67" s="205" t="s">
        <v>162</v>
      </c>
      <c r="AG67" s="206"/>
      <c r="AH67" s="207"/>
      <c r="AI67" s="1"/>
      <c r="AJ67" s="162" t="s">
        <v>177</v>
      </c>
      <c r="AK67" s="162"/>
      <c r="AL67" s="162"/>
      <c r="AM67" s="162"/>
      <c r="AN67" s="162"/>
      <c r="AO67" s="162"/>
      <c r="AP67" s="162"/>
      <c r="AQ67" s="162"/>
      <c r="AR67" s="162"/>
      <c r="AS67" s="162"/>
      <c r="AT67" s="162"/>
      <c r="AU67" s="162"/>
      <c r="AV67" s="162"/>
      <c r="AW67" s="162"/>
      <c r="AX67" s="162"/>
      <c r="AY67" s="1"/>
      <c r="AZ67" s="115" t="s">
        <v>163</v>
      </c>
      <c r="BA67" s="116"/>
      <c r="BB67" s="116"/>
      <c r="BC67" s="116"/>
      <c r="BD67" s="116"/>
      <c r="BE67" s="116"/>
      <c r="BF67" s="116"/>
      <c r="BG67" s="117"/>
      <c r="BH67" s="9"/>
      <c r="BI67" s="115" t="s">
        <v>164</v>
      </c>
      <c r="BJ67" s="116"/>
      <c r="BK67" s="116"/>
      <c r="BL67" s="116"/>
      <c r="BM67" s="116"/>
      <c r="BN67" s="116"/>
      <c r="BO67" s="116"/>
      <c r="BP67" s="116"/>
      <c r="BQ67" s="116"/>
      <c r="BR67" s="116"/>
      <c r="BS67" s="116"/>
      <c r="BT67" s="116"/>
      <c r="BU67" s="116"/>
      <c r="BV67" s="117"/>
      <c r="BW67" s="9"/>
      <c r="BX67" s="205" t="s">
        <v>176</v>
      </c>
      <c r="BY67" s="206"/>
      <c r="BZ67" s="206"/>
      <c r="CA67" s="206"/>
      <c r="CB67" s="206"/>
      <c r="CC67" s="206"/>
      <c r="CD67" s="206"/>
      <c r="CE67" s="206"/>
      <c r="CF67" s="206"/>
      <c r="CG67" s="207"/>
      <c r="CH67" s="1"/>
    </row>
    <row r="68" spans="1:86" ht="16" customHeight="1" x14ac:dyDescent="0.35">
      <c r="A68" s="1"/>
      <c r="B68" s="152"/>
      <c r="C68" s="153"/>
      <c r="D68" s="153"/>
      <c r="E68" s="153"/>
      <c r="F68" s="154"/>
      <c r="G68" s="152"/>
      <c r="H68" s="153"/>
      <c r="I68" s="153"/>
      <c r="J68" s="153"/>
      <c r="K68" s="153"/>
      <c r="L68" s="153"/>
      <c r="M68" s="153"/>
      <c r="N68" s="153"/>
      <c r="O68" s="153"/>
      <c r="P68" s="153"/>
      <c r="Q68" s="153"/>
      <c r="R68" s="153"/>
      <c r="S68" s="153"/>
      <c r="T68" s="153"/>
      <c r="U68" s="153"/>
      <c r="V68" s="153"/>
      <c r="W68" s="153"/>
      <c r="X68" s="153"/>
      <c r="Y68" s="154"/>
      <c r="Z68" s="1"/>
      <c r="AA68" s="152" t="s">
        <v>134</v>
      </c>
      <c r="AB68" s="153"/>
      <c r="AC68" s="153"/>
      <c r="AD68" s="154"/>
      <c r="AE68" s="1"/>
      <c r="AF68" s="152" t="s">
        <v>155</v>
      </c>
      <c r="AG68" s="153"/>
      <c r="AH68" s="154"/>
      <c r="AI68" s="1"/>
      <c r="AJ68" s="162"/>
      <c r="AK68" s="162"/>
      <c r="AL68" s="162"/>
      <c r="AM68" s="162"/>
      <c r="AN68" s="162"/>
      <c r="AO68" s="162"/>
      <c r="AP68" s="162"/>
      <c r="AQ68" s="162"/>
      <c r="AR68" s="162"/>
      <c r="AS68" s="162"/>
      <c r="AT68" s="162"/>
      <c r="AU68" s="162"/>
      <c r="AV68" s="162"/>
      <c r="AW68" s="162"/>
      <c r="AX68" s="162"/>
      <c r="AY68" s="1"/>
      <c r="AZ68" s="174" t="s">
        <v>55</v>
      </c>
      <c r="BA68" s="175"/>
      <c r="BB68" s="175"/>
      <c r="BC68" s="176"/>
      <c r="BD68" s="174" t="s">
        <v>56</v>
      </c>
      <c r="BE68" s="175"/>
      <c r="BF68" s="176"/>
      <c r="BG68" s="24" t="s">
        <v>48</v>
      </c>
      <c r="BH68" s="9"/>
      <c r="BI68" s="82" t="s">
        <v>67</v>
      </c>
      <c r="BJ68" s="83"/>
      <c r="BK68" s="83"/>
      <c r="BL68" s="83"/>
      <c r="BM68" s="83"/>
      <c r="BN68" s="83"/>
      <c r="BO68" s="83"/>
      <c r="BP68" s="83"/>
      <c r="BQ68" s="83"/>
      <c r="BR68" s="83"/>
      <c r="BS68" s="84"/>
      <c r="BT68" s="219" t="s">
        <v>175</v>
      </c>
      <c r="BU68" s="220"/>
      <c r="BV68" s="221"/>
      <c r="BW68" s="9"/>
      <c r="BX68" s="208"/>
      <c r="BY68" s="209"/>
      <c r="BZ68" s="209"/>
      <c r="CA68" s="209"/>
      <c r="CB68" s="209"/>
      <c r="CC68" s="209"/>
      <c r="CD68" s="209"/>
      <c r="CE68" s="209"/>
      <c r="CF68" s="209"/>
      <c r="CG68" s="210"/>
      <c r="CH68" s="1"/>
    </row>
    <row r="69" spans="1:86" ht="16" customHeight="1" x14ac:dyDescent="0.35">
      <c r="A69" s="1"/>
      <c r="B69" s="152"/>
      <c r="C69" s="153"/>
      <c r="D69" s="153"/>
      <c r="E69" s="153"/>
      <c r="F69" s="154"/>
      <c r="G69" s="152"/>
      <c r="H69" s="153"/>
      <c r="I69" s="153"/>
      <c r="J69" s="153"/>
      <c r="K69" s="153"/>
      <c r="L69" s="153"/>
      <c r="M69" s="153"/>
      <c r="N69" s="153"/>
      <c r="O69" s="153"/>
      <c r="P69" s="153"/>
      <c r="Q69" s="153"/>
      <c r="R69" s="153"/>
      <c r="S69" s="153"/>
      <c r="T69" s="153"/>
      <c r="U69" s="153"/>
      <c r="V69" s="153"/>
      <c r="W69" s="153"/>
      <c r="X69" s="153"/>
      <c r="Y69" s="154"/>
      <c r="Z69" s="1"/>
      <c r="AA69" s="152"/>
      <c r="AB69" s="153"/>
      <c r="AC69" s="153"/>
      <c r="AD69" s="154"/>
      <c r="AE69" s="1"/>
      <c r="AF69" s="152"/>
      <c r="AG69" s="153"/>
      <c r="AH69" s="154"/>
      <c r="AI69" s="1"/>
      <c r="AJ69" s="163" t="s">
        <v>44</v>
      </c>
      <c r="AK69" s="163"/>
      <c r="AL69" s="163"/>
      <c r="AM69" s="163"/>
      <c r="AN69" s="163"/>
      <c r="AO69" s="163"/>
      <c r="AP69" s="163"/>
      <c r="AQ69" s="163"/>
      <c r="AR69" s="163"/>
      <c r="AS69" s="163"/>
      <c r="AT69" s="163"/>
      <c r="AU69" s="163"/>
      <c r="AV69" s="163"/>
      <c r="AW69" s="163"/>
      <c r="AX69" s="163"/>
      <c r="AY69" s="1"/>
      <c r="AZ69" s="63" t="s">
        <v>161</v>
      </c>
      <c r="BA69" s="63" t="s">
        <v>162</v>
      </c>
      <c r="BB69" s="63" t="s">
        <v>165</v>
      </c>
      <c r="BC69" s="63" t="s">
        <v>166</v>
      </c>
      <c r="BD69" s="63" t="s">
        <v>167</v>
      </c>
      <c r="BE69" s="63" t="s">
        <v>168</v>
      </c>
      <c r="BF69" s="63" t="s">
        <v>169</v>
      </c>
      <c r="BG69" s="63" t="s">
        <v>170</v>
      </c>
      <c r="BH69" s="9"/>
      <c r="BI69" s="167" t="s">
        <v>216</v>
      </c>
      <c r="BJ69" s="167" t="s">
        <v>171</v>
      </c>
      <c r="BK69" s="167" t="s">
        <v>215</v>
      </c>
      <c r="BL69" s="167" t="s">
        <v>172</v>
      </c>
      <c r="BM69" s="167" t="s">
        <v>217</v>
      </c>
      <c r="BN69" s="167" t="s">
        <v>173</v>
      </c>
      <c r="BO69" s="219" t="s">
        <v>174</v>
      </c>
      <c r="BP69" s="220"/>
      <c r="BQ69" s="220"/>
      <c r="BR69" s="220"/>
      <c r="BS69" s="221"/>
      <c r="BT69" s="225"/>
      <c r="BU69" s="226"/>
      <c r="BV69" s="227"/>
      <c r="BW69" s="9"/>
      <c r="BX69" s="211"/>
      <c r="BY69" s="212"/>
      <c r="BZ69" s="212"/>
      <c r="CA69" s="212"/>
      <c r="CB69" s="212"/>
      <c r="CC69" s="212"/>
      <c r="CD69" s="212"/>
      <c r="CE69" s="212"/>
      <c r="CF69" s="212"/>
      <c r="CG69" s="213"/>
      <c r="CH69" s="1"/>
    </row>
    <row r="70" spans="1:86" ht="30.5" customHeight="1" x14ac:dyDescent="0.35">
      <c r="A70" s="1"/>
      <c r="B70" s="155"/>
      <c r="C70" s="156"/>
      <c r="D70" s="156"/>
      <c r="E70" s="156"/>
      <c r="F70" s="157"/>
      <c r="G70" s="155"/>
      <c r="H70" s="156"/>
      <c r="I70" s="156"/>
      <c r="J70" s="156"/>
      <c r="K70" s="156"/>
      <c r="L70" s="156"/>
      <c r="M70" s="156"/>
      <c r="N70" s="156"/>
      <c r="O70" s="156"/>
      <c r="P70" s="156"/>
      <c r="Q70" s="156"/>
      <c r="R70" s="156"/>
      <c r="S70" s="156"/>
      <c r="T70" s="156"/>
      <c r="U70" s="156"/>
      <c r="V70" s="156"/>
      <c r="W70" s="156"/>
      <c r="X70" s="156"/>
      <c r="Y70" s="157"/>
      <c r="Z70" s="1"/>
      <c r="AA70" s="155"/>
      <c r="AB70" s="156"/>
      <c r="AC70" s="156"/>
      <c r="AD70" s="157"/>
      <c r="AE70" s="1"/>
      <c r="AF70" s="155"/>
      <c r="AG70" s="156"/>
      <c r="AH70" s="157"/>
      <c r="AI70" s="1"/>
      <c r="AJ70" s="161">
        <v>2026</v>
      </c>
      <c r="AK70" s="161"/>
      <c r="AL70" s="161"/>
      <c r="AM70" s="161">
        <v>2027</v>
      </c>
      <c r="AN70" s="161"/>
      <c r="AO70" s="161"/>
      <c r="AP70" s="161">
        <v>2028</v>
      </c>
      <c r="AQ70" s="161"/>
      <c r="AR70" s="161"/>
      <c r="AS70" s="161">
        <v>2029</v>
      </c>
      <c r="AT70" s="161"/>
      <c r="AU70" s="161"/>
      <c r="AV70" s="161">
        <v>2030</v>
      </c>
      <c r="AW70" s="161"/>
      <c r="AX70" s="161"/>
      <c r="AY70" s="1"/>
      <c r="AZ70" s="24" t="s">
        <v>46</v>
      </c>
      <c r="BA70" s="24" t="s">
        <v>45</v>
      </c>
      <c r="BB70" s="24" t="s">
        <v>47</v>
      </c>
      <c r="BC70" s="24" t="s">
        <v>49</v>
      </c>
      <c r="BD70" s="24" t="s">
        <v>50</v>
      </c>
      <c r="BE70" s="24" t="s">
        <v>51</v>
      </c>
      <c r="BF70" s="24" t="s">
        <v>64</v>
      </c>
      <c r="BG70" s="24" t="s">
        <v>48</v>
      </c>
      <c r="BH70" s="9"/>
      <c r="BI70" s="167"/>
      <c r="BJ70" s="167"/>
      <c r="BK70" s="167"/>
      <c r="BL70" s="167"/>
      <c r="BM70" s="167"/>
      <c r="BN70" s="167"/>
      <c r="BO70" s="222"/>
      <c r="BP70" s="223"/>
      <c r="BQ70" s="223"/>
      <c r="BR70" s="223"/>
      <c r="BS70" s="224"/>
      <c r="BT70" s="222"/>
      <c r="BU70" s="223"/>
      <c r="BV70" s="224"/>
      <c r="BW70" s="9"/>
      <c r="BX70" s="200" t="s">
        <v>8</v>
      </c>
      <c r="BY70" s="200"/>
      <c r="BZ70" s="200" t="s">
        <v>9</v>
      </c>
      <c r="CA70" s="200"/>
      <c r="CB70" s="200" t="s">
        <v>10</v>
      </c>
      <c r="CC70" s="200"/>
      <c r="CD70" s="192" t="s">
        <v>11</v>
      </c>
      <c r="CE70" s="193"/>
      <c r="CF70" s="192" t="s">
        <v>19</v>
      </c>
      <c r="CG70" s="193"/>
      <c r="CH70" s="1"/>
    </row>
    <row r="71" spans="1:86" ht="4.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8"/>
      <c r="BY71" s="8"/>
      <c r="BZ71" s="8"/>
      <c r="CA71" s="8"/>
      <c r="CB71" s="8"/>
      <c r="CC71" s="8"/>
      <c r="CD71" s="8"/>
      <c r="CE71" s="8"/>
      <c r="CF71" s="8"/>
      <c r="CG71" s="8"/>
      <c r="CH71" s="1"/>
    </row>
    <row r="72" spans="1:86" s="51" customFormat="1" ht="24" customHeight="1" x14ac:dyDescent="0.35">
      <c r="A72" s="9"/>
      <c r="B72" s="194" t="s">
        <v>108</v>
      </c>
      <c r="C72" s="195"/>
      <c r="D72" s="195"/>
      <c r="E72" s="195"/>
      <c r="F72" s="196"/>
      <c r="G72" s="194" t="s">
        <v>142</v>
      </c>
      <c r="H72" s="195"/>
      <c r="I72" s="195"/>
      <c r="J72" s="195"/>
      <c r="K72" s="195"/>
      <c r="L72" s="195"/>
      <c r="M72" s="195"/>
      <c r="N72" s="195"/>
      <c r="O72" s="195"/>
      <c r="P72" s="195"/>
      <c r="Q72" s="195"/>
      <c r="R72" s="195"/>
      <c r="S72" s="195"/>
      <c r="T72" s="195"/>
      <c r="U72" s="195"/>
      <c r="V72" s="195"/>
      <c r="W72" s="195"/>
      <c r="X72" s="195"/>
      <c r="Y72" s="196"/>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26"/>
      <c r="BJ72" s="26"/>
      <c r="BK72" s="26"/>
      <c r="BL72" s="26"/>
      <c r="BM72" s="26"/>
      <c r="BN72" s="26"/>
      <c r="BO72" s="28"/>
      <c r="BP72" s="28"/>
      <c r="BQ72" s="28"/>
      <c r="BR72" s="28"/>
      <c r="BS72" s="28"/>
      <c r="BT72" s="28"/>
      <c r="BU72" s="28"/>
      <c r="BV72" s="28"/>
      <c r="BW72" s="9"/>
      <c r="BX72" s="191"/>
      <c r="BY72" s="191"/>
      <c r="BZ72" s="191"/>
      <c r="CA72" s="191"/>
      <c r="CB72" s="191"/>
      <c r="CC72" s="191"/>
      <c r="CD72" s="191"/>
      <c r="CE72" s="191"/>
      <c r="CF72" s="191"/>
      <c r="CG72" s="191"/>
      <c r="CH72" s="9"/>
    </row>
    <row r="73" spans="1:86" s="51" customFormat="1" ht="24" customHeight="1" x14ac:dyDescent="0.35">
      <c r="A73" s="9"/>
      <c r="B73" s="109" t="s">
        <v>109</v>
      </c>
      <c r="C73" s="110"/>
      <c r="D73" s="110"/>
      <c r="E73" s="110"/>
      <c r="F73" s="111"/>
      <c r="G73" s="234" t="s">
        <v>30</v>
      </c>
      <c r="H73" s="235"/>
      <c r="I73" s="235"/>
      <c r="J73" s="235"/>
      <c r="K73" s="235"/>
      <c r="L73" s="235"/>
      <c r="M73" s="235"/>
      <c r="N73" s="235"/>
      <c r="O73" s="235"/>
      <c r="P73" s="235"/>
      <c r="Q73" s="235"/>
      <c r="R73" s="235"/>
      <c r="S73" s="235"/>
      <c r="T73" s="235"/>
      <c r="U73" s="235"/>
      <c r="V73" s="235"/>
      <c r="W73" s="235"/>
      <c r="X73" s="235"/>
      <c r="Y73" s="236"/>
      <c r="Z73" s="9"/>
      <c r="AA73" s="106"/>
      <c r="AB73" s="107"/>
      <c r="AC73" s="107"/>
      <c r="AD73" s="108"/>
      <c r="AE73" s="9"/>
      <c r="AF73" s="118">
        <v>0</v>
      </c>
      <c r="AG73" s="119"/>
      <c r="AH73" s="120"/>
      <c r="AI73" s="9"/>
      <c r="AJ73" s="295"/>
      <c r="AK73" s="295"/>
      <c r="AL73" s="295"/>
      <c r="AM73" s="295"/>
      <c r="AN73" s="295"/>
      <c r="AO73" s="295"/>
      <c r="AP73" s="295"/>
      <c r="AQ73" s="295"/>
      <c r="AR73" s="295"/>
      <c r="AS73" s="295"/>
      <c r="AT73" s="295"/>
      <c r="AU73" s="295"/>
      <c r="AV73" s="295"/>
      <c r="AW73" s="295"/>
      <c r="AX73" s="295"/>
      <c r="AZ73" s="61"/>
      <c r="BA73" s="61"/>
      <c r="BB73" s="61"/>
      <c r="BC73" s="61"/>
      <c r="BD73" s="61"/>
      <c r="BE73" s="61"/>
      <c r="BF73" s="61"/>
      <c r="BG73" s="61"/>
      <c r="BH73" s="9"/>
      <c r="BI73" s="53"/>
      <c r="BJ73" s="53"/>
      <c r="BK73" s="53"/>
      <c r="BL73" s="55"/>
      <c r="BM73" s="53"/>
      <c r="BN73" s="53"/>
      <c r="BO73" s="171">
        <f>SUM(BI73+BJ73+BK73+BL73+BM73+BN73)</f>
        <v>0</v>
      </c>
      <c r="BP73" s="172"/>
      <c r="BQ73" s="172"/>
      <c r="BR73" s="172"/>
      <c r="BS73" s="173"/>
      <c r="BT73" s="164">
        <f>SUM(100/BO121)*BO73</f>
        <v>0</v>
      </c>
      <c r="BU73" s="165"/>
      <c r="BV73" s="166"/>
      <c r="BW73" s="9"/>
      <c r="BX73" s="106"/>
      <c r="BY73" s="108"/>
      <c r="BZ73" s="106"/>
      <c r="CA73" s="108"/>
      <c r="CB73" s="106"/>
      <c r="CC73" s="108"/>
      <c r="CD73" s="106"/>
      <c r="CE73" s="108"/>
      <c r="CF73" s="189">
        <f>SUM(BX73+BZ73+CB73+CD73)</f>
        <v>0</v>
      </c>
      <c r="CG73" s="190"/>
      <c r="CH73" s="9"/>
    </row>
    <row r="74" spans="1:86" s="51" customFormat="1" ht="24" customHeight="1" x14ac:dyDescent="0.35">
      <c r="A74" s="9"/>
      <c r="B74" s="109" t="s">
        <v>110</v>
      </c>
      <c r="C74" s="110"/>
      <c r="D74" s="110"/>
      <c r="E74" s="110"/>
      <c r="F74" s="111"/>
      <c r="G74" s="234" t="s">
        <v>195</v>
      </c>
      <c r="H74" s="235"/>
      <c r="I74" s="235"/>
      <c r="J74" s="235"/>
      <c r="K74" s="235"/>
      <c r="L74" s="235"/>
      <c r="M74" s="235"/>
      <c r="N74" s="235"/>
      <c r="O74" s="235"/>
      <c r="P74" s="235"/>
      <c r="Q74" s="235"/>
      <c r="R74" s="235"/>
      <c r="S74" s="235"/>
      <c r="T74" s="235"/>
      <c r="U74" s="235"/>
      <c r="V74" s="235"/>
      <c r="W74" s="235"/>
      <c r="X74" s="235"/>
      <c r="Y74" s="236"/>
      <c r="Z74" s="9"/>
      <c r="AA74" s="106"/>
      <c r="AB74" s="107"/>
      <c r="AC74" s="107"/>
      <c r="AD74" s="108"/>
      <c r="AE74" s="9"/>
      <c r="AF74" s="118"/>
      <c r="AG74" s="119"/>
      <c r="AH74" s="120"/>
      <c r="AI74" s="9"/>
      <c r="AJ74" s="295"/>
      <c r="AK74" s="295"/>
      <c r="AL74" s="295"/>
      <c r="AM74" s="295"/>
      <c r="AN74" s="295"/>
      <c r="AO74" s="295"/>
      <c r="AP74" s="295"/>
      <c r="AQ74" s="295"/>
      <c r="AR74" s="295"/>
      <c r="AS74" s="295"/>
      <c r="AT74" s="295"/>
      <c r="AU74" s="295"/>
      <c r="AV74" s="295"/>
      <c r="AW74" s="295"/>
      <c r="AX74" s="295"/>
      <c r="AZ74" s="61"/>
      <c r="BA74" s="61"/>
      <c r="BB74" s="61"/>
      <c r="BC74" s="61"/>
      <c r="BD74" s="61"/>
      <c r="BE74" s="61"/>
      <c r="BF74" s="61"/>
      <c r="BG74" s="61"/>
      <c r="BH74" s="9"/>
      <c r="BI74" s="53"/>
      <c r="BJ74" s="53"/>
      <c r="BK74" s="53"/>
      <c r="BL74" s="55"/>
      <c r="BM74" s="53"/>
      <c r="BN74" s="53"/>
      <c r="BO74" s="171">
        <f>SUM(BI74+BJ74+BK74+BL74+BM74+BN74)</f>
        <v>0</v>
      </c>
      <c r="BP74" s="172"/>
      <c r="BQ74" s="172"/>
      <c r="BR74" s="172"/>
      <c r="BS74" s="173"/>
      <c r="BT74" s="164">
        <f>SUM(100/BO121)*BO74</f>
        <v>0</v>
      </c>
      <c r="BU74" s="165"/>
      <c r="BV74" s="166"/>
      <c r="BW74" s="9"/>
      <c r="BX74" s="106"/>
      <c r="BY74" s="108"/>
      <c r="BZ74" s="106"/>
      <c r="CA74" s="108"/>
      <c r="CB74" s="106"/>
      <c r="CC74" s="108"/>
      <c r="CD74" s="106"/>
      <c r="CE74" s="108"/>
      <c r="CF74" s="189">
        <f>SUM(BX74+BZ74+CB74+CD74)</f>
        <v>0</v>
      </c>
      <c r="CG74" s="190"/>
      <c r="CH74" s="9"/>
    </row>
    <row r="75" spans="1:86" s="51" customFormat="1" ht="24" customHeight="1" x14ac:dyDescent="0.35">
      <c r="A75" s="9"/>
      <c r="B75" s="109" t="s">
        <v>111</v>
      </c>
      <c r="C75" s="110"/>
      <c r="D75" s="110"/>
      <c r="E75" s="110"/>
      <c r="F75" s="111"/>
      <c r="G75" s="234" t="s">
        <v>196</v>
      </c>
      <c r="H75" s="235"/>
      <c r="I75" s="235"/>
      <c r="J75" s="235"/>
      <c r="K75" s="235"/>
      <c r="L75" s="235"/>
      <c r="M75" s="235"/>
      <c r="N75" s="235"/>
      <c r="O75" s="235"/>
      <c r="P75" s="235"/>
      <c r="Q75" s="235"/>
      <c r="R75" s="235"/>
      <c r="S75" s="235"/>
      <c r="T75" s="235"/>
      <c r="U75" s="235"/>
      <c r="V75" s="235"/>
      <c r="W75" s="235"/>
      <c r="X75" s="235"/>
      <c r="Y75" s="236"/>
      <c r="Z75" s="9"/>
      <c r="AA75" s="106"/>
      <c r="AB75" s="107"/>
      <c r="AC75" s="107"/>
      <c r="AD75" s="108"/>
      <c r="AE75" s="9"/>
      <c r="AF75" s="118"/>
      <c r="AG75" s="119"/>
      <c r="AH75" s="120"/>
      <c r="AI75" s="9"/>
      <c r="AJ75" s="106"/>
      <c r="AK75" s="107"/>
      <c r="AL75" s="108"/>
      <c r="AM75" s="295"/>
      <c r="AN75" s="295"/>
      <c r="AO75" s="295"/>
      <c r="AP75" s="295"/>
      <c r="AQ75" s="295"/>
      <c r="AR75" s="295"/>
      <c r="AS75" s="295"/>
      <c r="AT75" s="295"/>
      <c r="AU75" s="295"/>
      <c r="AV75" s="295"/>
      <c r="AW75" s="295"/>
      <c r="AX75" s="295"/>
      <c r="AZ75" s="61"/>
      <c r="BA75" s="61"/>
      <c r="BB75" s="61"/>
      <c r="BC75" s="61"/>
      <c r="BD75" s="61"/>
      <c r="BE75" s="61"/>
      <c r="BF75" s="61"/>
      <c r="BG75" s="61"/>
      <c r="BH75" s="9"/>
      <c r="BI75" s="53"/>
      <c r="BJ75" s="53"/>
      <c r="BK75" s="53"/>
      <c r="BL75" s="55"/>
      <c r="BM75" s="53"/>
      <c r="BN75" s="53"/>
      <c r="BO75" s="171">
        <f>SUM(BI75+BJ75+BK75+BL75+BM75+BN75)</f>
        <v>0</v>
      </c>
      <c r="BP75" s="172"/>
      <c r="BQ75" s="172"/>
      <c r="BR75" s="172"/>
      <c r="BS75" s="173"/>
      <c r="BT75" s="164">
        <f>SUM(100/BO121)*BO75</f>
        <v>0</v>
      </c>
      <c r="BU75" s="165"/>
      <c r="BV75" s="166"/>
      <c r="BW75" s="9"/>
      <c r="BX75" s="106"/>
      <c r="BY75" s="108"/>
      <c r="BZ75" s="106"/>
      <c r="CA75" s="108"/>
      <c r="CB75" s="106"/>
      <c r="CC75" s="108"/>
      <c r="CD75" s="106"/>
      <c r="CE75" s="108"/>
      <c r="CF75" s="189">
        <f>SUM(BX75+BZ75+CB75+CD75)</f>
        <v>0</v>
      </c>
      <c r="CG75" s="190"/>
      <c r="CH75" s="9"/>
    </row>
    <row r="76" spans="1:86" s="51" customFormat="1" ht="24" customHeight="1" x14ac:dyDescent="0.35">
      <c r="A76" s="9"/>
      <c r="B76" s="109" t="s">
        <v>112</v>
      </c>
      <c r="C76" s="110"/>
      <c r="D76" s="110"/>
      <c r="E76" s="110"/>
      <c r="F76" s="111"/>
      <c r="G76" s="234" t="s">
        <v>197</v>
      </c>
      <c r="H76" s="235"/>
      <c r="I76" s="235"/>
      <c r="J76" s="235"/>
      <c r="K76" s="235"/>
      <c r="L76" s="235"/>
      <c r="M76" s="235"/>
      <c r="N76" s="235"/>
      <c r="O76" s="235"/>
      <c r="P76" s="235"/>
      <c r="Q76" s="235"/>
      <c r="R76" s="235"/>
      <c r="S76" s="235"/>
      <c r="T76" s="235"/>
      <c r="U76" s="235"/>
      <c r="V76" s="235"/>
      <c r="W76" s="235"/>
      <c r="X76" s="235"/>
      <c r="Y76" s="236"/>
      <c r="Z76" s="9"/>
      <c r="AA76" s="106"/>
      <c r="AB76" s="107"/>
      <c r="AC76" s="107"/>
      <c r="AD76" s="108"/>
      <c r="AE76" s="9"/>
      <c r="AF76" s="118"/>
      <c r="AG76" s="119"/>
      <c r="AH76" s="120"/>
      <c r="AI76" s="9"/>
      <c r="AJ76" s="106"/>
      <c r="AK76" s="107"/>
      <c r="AL76" s="108"/>
      <c r="AM76" s="106"/>
      <c r="AN76" s="107"/>
      <c r="AO76" s="108"/>
      <c r="AP76" s="295"/>
      <c r="AQ76" s="295"/>
      <c r="AR76" s="295"/>
      <c r="AS76" s="295"/>
      <c r="AT76" s="295"/>
      <c r="AU76" s="295"/>
      <c r="AV76" s="295"/>
      <c r="AW76" s="295"/>
      <c r="AX76" s="295"/>
      <c r="AZ76" s="61"/>
      <c r="BA76" s="61"/>
      <c r="BB76" s="61"/>
      <c r="BC76" s="61"/>
      <c r="BD76" s="61"/>
      <c r="BE76" s="61"/>
      <c r="BF76" s="61"/>
      <c r="BG76" s="61"/>
      <c r="BH76" s="9"/>
      <c r="BI76" s="53"/>
      <c r="BJ76" s="53"/>
      <c r="BK76" s="53"/>
      <c r="BL76" s="55"/>
      <c r="BM76" s="53"/>
      <c r="BN76" s="53"/>
      <c r="BO76" s="171">
        <f>SUM(BI76+BJ76+BK76+BL76+BM76+BN76)</f>
        <v>0</v>
      </c>
      <c r="BP76" s="172"/>
      <c r="BQ76" s="172"/>
      <c r="BR76" s="172"/>
      <c r="BS76" s="173"/>
      <c r="BT76" s="164">
        <f>SUM(100/BO121)*BO76</f>
        <v>0</v>
      </c>
      <c r="BU76" s="165"/>
      <c r="BV76" s="166"/>
      <c r="BW76" s="9"/>
      <c r="BX76" s="106"/>
      <c r="BY76" s="108"/>
      <c r="BZ76" s="106"/>
      <c r="CA76" s="108"/>
      <c r="CB76" s="106"/>
      <c r="CC76" s="108"/>
      <c r="CD76" s="106"/>
      <c r="CE76" s="108"/>
      <c r="CF76" s="189">
        <f>SUM(BX76+BZ76+CB76+CD76)</f>
        <v>0</v>
      </c>
      <c r="CG76" s="190"/>
      <c r="CH76" s="9"/>
    </row>
    <row r="77" spans="1:86" s="51" customFormat="1" ht="24" customHeight="1" x14ac:dyDescent="0.35">
      <c r="A77" s="9"/>
      <c r="B77" s="109" t="s">
        <v>113</v>
      </c>
      <c r="C77" s="110"/>
      <c r="D77" s="110"/>
      <c r="E77" s="110"/>
      <c r="F77" s="111"/>
      <c r="G77" s="234" t="s">
        <v>198</v>
      </c>
      <c r="H77" s="235"/>
      <c r="I77" s="235"/>
      <c r="J77" s="235"/>
      <c r="K77" s="235"/>
      <c r="L77" s="235"/>
      <c r="M77" s="235"/>
      <c r="N77" s="235"/>
      <c r="O77" s="235"/>
      <c r="P77" s="235"/>
      <c r="Q77" s="235"/>
      <c r="R77" s="235"/>
      <c r="S77" s="235"/>
      <c r="T77" s="235"/>
      <c r="U77" s="235"/>
      <c r="V77" s="235"/>
      <c r="W77" s="235"/>
      <c r="X77" s="235"/>
      <c r="Y77" s="236"/>
      <c r="Z77" s="9"/>
      <c r="AA77" s="106"/>
      <c r="AB77" s="107"/>
      <c r="AC77" s="107"/>
      <c r="AD77" s="108"/>
      <c r="AE77" s="9"/>
      <c r="AF77" s="118"/>
      <c r="AG77" s="119"/>
      <c r="AH77" s="120"/>
      <c r="AI77" s="9"/>
      <c r="AJ77" s="106"/>
      <c r="AK77" s="107"/>
      <c r="AL77" s="108"/>
      <c r="AM77" s="106"/>
      <c r="AN77" s="107"/>
      <c r="AO77" s="108"/>
      <c r="AP77" s="295"/>
      <c r="AQ77" s="295"/>
      <c r="AR77" s="295"/>
      <c r="AS77" s="295"/>
      <c r="AT77" s="295"/>
      <c r="AU77" s="295"/>
      <c r="AV77" s="295"/>
      <c r="AW77" s="295"/>
      <c r="AX77" s="295"/>
      <c r="AZ77" s="61"/>
      <c r="BA77" s="61"/>
      <c r="BB77" s="61"/>
      <c r="BC77" s="61"/>
      <c r="BD77" s="61"/>
      <c r="BE77" s="61"/>
      <c r="BF77" s="61"/>
      <c r="BG77" s="61"/>
      <c r="BH77" s="9"/>
      <c r="BI77" s="53"/>
      <c r="BJ77" s="53"/>
      <c r="BK77" s="53"/>
      <c r="BL77" s="55"/>
      <c r="BM77" s="53"/>
      <c r="BN77" s="53"/>
      <c r="BO77" s="171">
        <f>SUM(BI77+BJ77+BK77+BL77+BM77+BN77)</f>
        <v>0</v>
      </c>
      <c r="BP77" s="172"/>
      <c r="BQ77" s="172"/>
      <c r="BR77" s="172"/>
      <c r="BS77" s="173"/>
      <c r="BT77" s="164">
        <f>SUM(100/BO121)*BO77</f>
        <v>0</v>
      </c>
      <c r="BU77" s="165"/>
      <c r="BV77" s="166"/>
      <c r="BW77" s="9"/>
      <c r="BX77" s="106"/>
      <c r="BY77" s="108"/>
      <c r="BZ77" s="106"/>
      <c r="CA77" s="108"/>
      <c r="CB77" s="106"/>
      <c r="CC77" s="108"/>
      <c r="CD77" s="106"/>
      <c r="CE77" s="108"/>
      <c r="CF77" s="189">
        <f>SUM(BX77+BZ77+CB77+CD77)</f>
        <v>0</v>
      </c>
      <c r="CG77" s="190"/>
      <c r="CH77" s="9"/>
    </row>
    <row r="78" spans="1:86" ht="4.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30"/>
      <c r="BJ78" s="30"/>
      <c r="BK78" s="30"/>
      <c r="BL78" s="30"/>
      <c r="BM78" s="30"/>
      <c r="BN78" s="30"/>
      <c r="BO78" s="30"/>
      <c r="BP78" s="30"/>
      <c r="BQ78" s="30"/>
      <c r="BR78" s="30"/>
      <c r="BS78" s="30"/>
      <c r="BT78" s="41"/>
      <c r="BU78" s="42"/>
      <c r="BV78" s="42"/>
      <c r="BW78" s="9"/>
      <c r="BX78" s="8"/>
      <c r="BY78" s="8"/>
      <c r="BZ78" s="8"/>
      <c r="CA78" s="8"/>
      <c r="CB78" s="8"/>
      <c r="CC78" s="8"/>
      <c r="CD78" s="8"/>
      <c r="CE78" s="8"/>
      <c r="CF78" s="8"/>
      <c r="CG78" s="8"/>
      <c r="CH78" s="1"/>
    </row>
    <row r="79" spans="1:86" s="51" customFormat="1" ht="24" customHeight="1" x14ac:dyDescent="0.35">
      <c r="A79" s="9"/>
      <c r="B79" s="194" t="s">
        <v>108</v>
      </c>
      <c r="C79" s="195"/>
      <c r="D79" s="195"/>
      <c r="E79" s="195"/>
      <c r="F79" s="196"/>
      <c r="G79" s="103" t="s">
        <v>103</v>
      </c>
      <c r="H79" s="104"/>
      <c r="I79" s="104"/>
      <c r="J79" s="104"/>
      <c r="K79" s="104"/>
      <c r="L79" s="104"/>
      <c r="M79" s="104"/>
      <c r="N79" s="104"/>
      <c r="O79" s="104"/>
      <c r="P79" s="104"/>
      <c r="Q79" s="104"/>
      <c r="R79" s="104"/>
      <c r="S79" s="104"/>
      <c r="T79" s="104"/>
      <c r="U79" s="104"/>
      <c r="V79" s="104"/>
      <c r="W79" s="104"/>
      <c r="X79" s="104"/>
      <c r="Y79" s="105"/>
      <c r="Z79" s="8"/>
      <c r="AA79" s="189">
        <f>SUM(AA73:AA77)</f>
        <v>0</v>
      </c>
      <c r="AB79" s="201"/>
      <c r="AC79" s="201"/>
      <c r="AD79" s="190"/>
      <c r="AE79" s="8"/>
      <c r="AF79" s="174">
        <f>MEDIAN(AF73:AF77)</f>
        <v>0</v>
      </c>
      <c r="AG79" s="175"/>
      <c r="AH79" s="176"/>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56">
        <f>SUM(BI73:BI77)</f>
        <v>0</v>
      </c>
      <c r="BJ79" s="56">
        <f>SUM(BJ73:BJ77)</f>
        <v>0</v>
      </c>
      <c r="BK79" s="56">
        <f>SUM(BK73:BK77)</f>
        <v>0</v>
      </c>
      <c r="BL79" s="56">
        <f>SUM(BL73:BL77)</f>
        <v>0</v>
      </c>
      <c r="BM79" s="56">
        <f>SUM(BM73:BM77)</f>
        <v>0</v>
      </c>
      <c r="BN79" s="56">
        <f t="shared" ref="BN79" si="12">SUM(BN73:BN77)</f>
        <v>0</v>
      </c>
      <c r="BO79" s="171">
        <f>SUM(BI79+BJ79+BK79+BL79+BM79+BN79)</f>
        <v>0</v>
      </c>
      <c r="BP79" s="172"/>
      <c r="BQ79" s="172"/>
      <c r="BR79" s="172"/>
      <c r="BS79" s="173"/>
      <c r="BT79" s="164">
        <f>SUM(100/BO121)*BO79</f>
        <v>0</v>
      </c>
      <c r="BU79" s="165"/>
      <c r="BV79" s="166"/>
      <c r="BW79" s="8"/>
      <c r="BX79" s="174">
        <f>SUM(BX73:BX77)</f>
        <v>0</v>
      </c>
      <c r="BY79" s="176"/>
      <c r="BZ79" s="174">
        <f>SUM(BZ73:BZ77)</f>
        <v>0</v>
      </c>
      <c r="CA79" s="176"/>
      <c r="CB79" s="174">
        <f>SUM(CB73:CB77)</f>
        <v>0</v>
      </c>
      <c r="CC79" s="176"/>
      <c r="CD79" s="174">
        <f>SUM(CD73:CD77)</f>
        <v>0</v>
      </c>
      <c r="CE79" s="176"/>
      <c r="CF79" s="174">
        <f>SUM(CF73:CF77)</f>
        <v>0</v>
      </c>
      <c r="CG79" s="176"/>
      <c r="CH79" s="9"/>
    </row>
    <row r="80" spans="1:86" ht="4.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8"/>
      <c r="BY80" s="8"/>
      <c r="BZ80" s="8"/>
      <c r="CA80" s="8"/>
      <c r="CB80" s="8"/>
      <c r="CC80" s="8"/>
      <c r="CD80" s="8"/>
      <c r="CE80" s="8"/>
      <c r="CF80" s="8"/>
      <c r="CG80" s="8"/>
      <c r="CH80" s="1"/>
    </row>
    <row r="81" spans="1:86" ht="4.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8"/>
      <c r="BY81" s="8"/>
      <c r="BZ81" s="8"/>
      <c r="CA81" s="8"/>
      <c r="CB81" s="8"/>
      <c r="CC81" s="8"/>
      <c r="CD81" s="8"/>
      <c r="CE81" s="8"/>
      <c r="CF81" s="8"/>
      <c r="CG81" s="8"/>
      <c r="CH81" s="1"/>
    </row>
    <row r="82" spans="1:86" s="51" customFormat="1" ht="24" customHeight="1" x14ac:dyDescent="0.35">
      <c r="A82" s="9"/>
      <c r="B82" s="194" t="s">
        <v>114</v>
      </c>
      <c r="C82" s="195"/>
      <c r="D82" s="195"/>
      <c r="E82" s="195"/>
      <c r="F82" s="196"/>
      <c r="G82" s="194" t="s">
        <v>144</v>
      </c>
      <c r="H82" s="195"/>
      <c r="I82" s="195"/>
      <c r="J82" s="195"/>
      <c r="K82" s="195"/>
      <c r="L82" s="195"/>
      <c r="M82" s="195"/>
      <c r="N82" s="195"/>
      <c r="O82" s="195"/>
      <c r="P82" s="195"/>
      <c r="Q82" s="195"/>
      <c r="R82" s="195"/>
      <c r="S82" s="195"/>
      <c r="T82" s="195"/>
      <c r="U82" s="195"/>
      <c r="V82" s="195"/>
      <c r="W82" s="195"/>
      <c r="X82" s="195"/>
      <c r="Y82" s="196"/>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30"/>
      <c r="BJ82" s="30"/>
      <c r="BK82" s="30"/>
      <c r="BL82" s="30"/>
      <c r="BM82" s="30"/>
      <c r="BN82" s="30"/>
      <c r="BO82" s="30"/>
      <c r="BP82" s="30"/>
      <c r="BQ82" s="30"/>
      <c r="BR82" s="30"/>
      <c r="BS82" s="30"/>
      <c r="BT82" s="30"/>
      <c r="BU82" s="28"/>
      <c r="BV82" s="28"/>
      <c r="BW82" s="9"/>
      <c r="BX82" s="191"/>
      <c r="BY82" s="191"/>
      <c r="BZ82" s="191"/>
      <c r="CA82" s="191"/>
      <c r="CB82" s="191"/>
      <c r="CC82" s="191"/>
      <c r="CD82" s="191"/>
      <c r="CE82" s="191"/>
      <c r="CF82" s="191"/>
      <c r="CG82" s="191"/>
      <c r="CH82" s="9"/>
    </row>
    <row r="83" spans="1:86" s="51" customFormat="1" ht="24" customHeight="1" x14ac:dyDescent="0.35">
      <c r="A83" s="9"/>
      <c r="B83" s="109" t="s">
        <v>115</v>
      </c>
      <c r="C83" s="110"/>
      <c r="D83" s="110"/>
      <c r="E83" s="110"/>
      <c r="F83" s="111"/>
      <c r="G83" s="234" t="s">
        <v>17</v>
      </c>
      <c r="H83" s="235"/>
      <c r="I83" s="235"/>
      <c r="J83" s="235"/>
      <c r="K83" s="235"/>
      <c r="L83" s="235"/>
      <c r="M83" s="235"/>
      <c r="N83" s="235"/>
      <c r="O83" s="235"/>
      <c r="P83" s="235"/>
      <c r="Q83" s="235"/>
      <c r="R83" s="235"/>
      <c r="S83" s="235"/>
      <c r="T83" s="235"/>
      <c r="U83" s="235"/>
      <c r="V83" s="235"/>
      <c r="W83" s="235"/>
      <c r="X83" s="235"/>
      <c r="Y83" s="236"/>
      <c r="Z83" s="9"/>
      <c r="AA83" s="106"/>
      <c r="AB83" s="107"/>
      <c r="AC83" s="107"/>
      <c r="AD83" s="108"/>
      <c r="AE83" s="9"/>
      <c r="AF83" s="118">
        <v>0</v>
      </c>
      <c r="AG83" s="119"/>
      <c r="AH83" s="120"/>
      <c r="AI83" s="9"/>
      <c r="AJ83" s="295"/>
      <c r="AK83" s="295"/>
      <c r="AL83" s="295"/>
      <c r="AM83" s="295"/>
      <c r="AN83" s="295"/>
      <c r="AO83" s="295"/>
      <c r="AP83" s="295"/>
      <c r="AQ83" s="295"/>
      <c r="AR83" s="295"/>
      <c r="AS83" s="295"/>
      <c r="AT83" s="295"/>
      <c r="AU83" s="295"/>
      <c r="AV83" s="295"/>
      <c r="AW83" s="295"/>
      <c r="AX83" s="295"/>
      <c r="AZ83" s="61"/>
      <c r="BA83" s="61"/>
      <c r="BB83" s="61"/>
      <c r="BC83" s="61"/>
      <c r="BD83" s="61"/>
      <c r="BE83" s="61"/>
      <c r="BF83" s="61"/>
      <c r="BG83" s="61"/>
      <c r="BH83" s="9"/>
      <c r="BI83" s="53"/>
      <c r="BJ83" s="53"/>
      <c r="BK83" s="53"/>
      <c r="BL83" s="53"/>
      <c r="BM83" s="53"/>
      <c r="BN83" s="53"/>
      <c r="BO83" s="171">
        <f>SUM(BI83+BJ83+BK83+BL83+BM83+BN83)</f>
        <v>0</v>
      </c>
      <c r="BP83" s="172"/>
      <c r="BQ83" s="172"/>
      <c r="BR83" s="172"/>
      <c r="BS83" s="173"/>
      <c r="BT83" s="164">
        <f>SUM(100/BO121)*BO83</f>
        <v>0</v>
      </c>
      <c r="BU83" s="165"/>
      <c r="BV83" s="166"/>
      <c r="BW83" s="9"/>
      <c r="BX83" s="106"/>
      <c r="BY83" s="108"/>
      <c r="BZ83" s="106"/>
      <c r="CA83" s="108"/>
      <c r="CB83" s="106"/>
      <c r="CC83" s="108"/>
      <c r="CD83" s="106"/>
      <c r="CE83" s="108"/>
      <c r="CF83" s="189">
        <f>SUM(BX83+BZ83+CB83+CD83)</f>
        <v>0</v>
      </c>
      <c r="CG83" s="190"/>
      <c r="CH83" s="9"/>
    </row>
    <row r="84" spans="1:86" s="51" customFormat="1" ht="24" customHeight="1" x14ac:dyDescent="0.35">
      <c r="A84" s="9"/>
      <c r="B84" s="109" t="s">
        <v>116</v>
      </c>
      <c r="C84" s="110"/>
      <c r="D84" s="110"/>
      <c r="E84" s="110"/>
      <c r="F84" s="111"/>
      <c r="G84" s="234" t="s">
        <v>199</v>
      </c>
      <c r="H84" s="235"/>
      <c r="I84" s="235"/>
      <c r="J84" s="235"/>
      <c r="K84" s="235"/>
      <c r="L84" s="235"/>
      <c r="M84" s="235"/>
      <c r="N84" s="235"/>
      <c r="O84" s="235"/>
      <c r="P84" s="235"/>
      <c r="Q84" s="235"/>
      <c r="R84" s="235"/>
      <c r="S84" s="235"/>
      <c r="T84" s="235"/>
      <c r="U84" s="235"/>
      <c r="V84" s="235"/>
      <c r="W84" s="235"/>
      <c r="X84" s="235"/>
      <c r="Y84" s="236"/>
      <c r="Z84" s="9"/>
      <c r="AA84" s="106"/>
      <c r="AB84" s="107"/>
      <c r="AC84" s="107"/>
      <c r="AD84" s="108"/>
      <c r="AE84" s="9"/>
      <c r="AF84" s="118"/>
      <c r="AG84" s="119"/>
      <c r="AH84" s="120"/>
      <c r="AI84" s="9"/>
      <c r="AJ84" s="295"/>
      <c r="AK84" s="295"/>
      <c r="AL84" s="295"/>
      <c r="AM84" s="295"/>
      <c r="AN84" s="295"/>
      <c r="AO84" s="295"/>
      <c r="AP84" s="295"/>
      <c r="AQ84" s="295"/>
      <c r="AR84" s="295"/>
      <c r="AS84" s="295"/>
      <c r="AT84" s="295"/>
      <c r="AU84" s="295"/>
      <c r="AV84" s="295"/>
      <c r="AW84" s="295"/>
      <c r="AX84" s="295"/>
      <c r="AZ84" s="61"/>
      <c r="BA84" s="61"/>
      <c r="BB84" s="61"/>
      <c r="BC84" s="61"/>
      <c r="BD84" s="61"/>
      <c r="BE84" s="61"/>
      <c r="BF84" s="61"/>
      <c r="BG84" s="61"/>
      <c r="BH84" s="9"/>
      <c r="BI84" s="53"/>
      <c r="BJ84" s="53"/>
      <c r="BK84" s="53"/>
      <c r="BL84" s="53"/>
      <c r="BM84" s="53"/>
      <c r="BN84" s="53"/>
      <c r="BO84" s="171">
        <f>SUM(BI84+BJ84+BK84+BL84+BM84+BN84)</f>
        <v>0</v>
      </c>
      <c r="BP84" s="172"/>
      <c r="BQ84" s="172"/>
      <c r="BR84" s="172"/>
      <c r="BS84" s="173"/>
      <c r="BT84" s="164">
        <f>SUM(100/BO121)*BO84</f>
        <v>0</v>
      </c>
      <c r="BU84" s="165"/>
      <c r="BV84" s="166"/>
      <c r="BW84" s="9"/>
      <c r="BX84" s="106"/>
      <c r="BY84" s="108"/>
      <c r="BZ84" s="106"/>
      <c r="CA84" s="108"/>
      <c r="CB84" s="106"/>
      <c r="CC84" s="108"/>
      <c r="CD84" s="106"/>
      <c r="CE84" s="108"/>
      <c r="CF84" s="189">
        <f>SUM(BX84+BZ84+CB84+CD84)</f>
        <v>0</v>
      </c>
      <c r="CG84" s="190"/>
      <c r="CH84" s="9"/>
    </row>
    <row r="85" spans="1:86" s="51" customFormat="1" ht="24" customHeight="1" x14ac:dyDescent="0.35">
      <c r="A85" s="9"/>
      <c r="B85" s="109" t="s">
        <v>117</v>
      </c>
      <c r="C85" s="110"/>
      <c r="D85" s="110"/>
      <c r="E85" s="110"/>
      <c r="F85" s="111"/>
      <c r="G85" s="234" t="s">
        <v>16</v>
      </c>
      <c r="H85" s="235"/>
      <c r="I85" s="235"/>
      <c r="J85" s="235"/>
      <c r="K85" s="235"/>
      <c r="L85" s="235"/>
      <c r="M85" s="235"/>
      <c r="N85" s="235"/>
      <c r="O85" s="235"/>
      <c r="P85" s="235"/>
      <c r="Q85" s="235"/>
      <c r="R85" s="235"/>
      <c r="S85" s="235"/>
      <c r="T85" s="235"/>
      <c r="U85" s="235"/>
      <c r="V85" s="235"/>
      <c r="W85" s="235"/>
      <c r="X85" s="235"/>
      <c r="Y85" s="236"/>
      <c r="Z85" s="9"/>
      <c r="AA85" s="106"/>
      <c r="AB85" s="107"/>
      <c r="AC85" s="107"/>
      <c r="AD85" s="108"/>
      <c r="AE85" s="9"/>
      <c r="AF85" s="118"/>
      <c r="AG85" s="119"/>
      <c r="AH85" s="120"/>
      <c r="AI85" s="9"/>
      <c r="AJ85" s="295"/>
      <c r="AK85" s="295"/>
      <c r="AL85" s="295"/>
      <c r="AM85" s="295"/>
      <c r="AN85" s="295"/>
      <c r="AO85" s="295"/>
      <c r="AP85" s="295"/>
      <c r="AQ85" s="295"/>
      <c r="AR85" s="295"/>
      <c r="AS85" s="295"/>
      <c r="AT85" s="295"/>
      <c r="AU85" s="295"/>
      <c r="AV85" s="295"/>
      <c r="AW85" s="295"/>
      <c r="AX85" s="295"/>
      <c r="AZ85" s="61"/>
      <c r="BA85" s="61"/>
      <c r="BB85" s="61"/>
      <c r="BC85" s="61"/>
      <c r="BD85" s="61"/>
      <c r="BE85" s="61"/>
      <c r="BF85" s="61"/>
      <c r="BG85" s="61"/>
      <c r="BH85" s="9"/>
      <c r="BI85" s="53"/>
      <c r="BJ85" s="53"/>
      <c r="BK85" s="53"/>
      <c r="BL85" s="53"/>
      <c r="BM85" s="53"/>
      <c r="BN85" s="53"/>
      <c r="BO85" s="171">
        <f>SUM(BI85+BJ85+BK85+BL85+BM85+BN85)</f>
        <v>0</v>
      </c>
      <c r="BP85" s="172"/>
      <c r="BQ85" s="172"/>
      <c r="BR85" s="172"/>
      <c r="BS85" s="173"/>
      <c r="BT85" s="164">
        <f>SUM(100/BO121)*BO85</f>
        <v>0</v>
      </c>
      <c r="BU85" s="165"/>
      <c r="BV85" s="166"/>
      <c r="BW85" s="9"/>
      <c r="BX85" s="106"/>
      <c r="BY85" s="108"/>
      <c r="BZ85" s="106"/>
      <c r="CA85" s="108"/>
      <c r="CB85" s="106"/>
      <c r="CC85" s="108"/>
      <c r="CD85" s="106"/>
      <c r="CE85" s="108"/>
      <c r="CF85" s="189">
        <f>SUM(BX85+BZ85+CB85+CD85)</f>
        <v>0</v>
      </c>
      <c r="CG85" s="190"/>
      <c r="CH85" s="9"/>
    </row>
    <row r="86" spans="1:86" s="51" customFormat="1" ht="24" customHeight="1" x14ac:dyDescent="0.35">
      <c r="A86" s="9"/>
      <c r="B86" s="109" t="s">
        <v>118</v>
      </c>
      <c r="C86" s="110"/>
      <c r="D86" s="110"/>
      <c r="E86" s="110"/>
      <c r="F86" s="111"/>
      <c r="G86" s="234" t="s">
        <v>18</v>
      </c>
      <c r="H86" s="235"/>
      <c r="I86" s="235"/>
      <c r="J86" s="235"/>
      <c r="K86" s="235"/>
      <c r="L86" s="235"/>
      <c r="M86" s="235"/>
      <c r="N86" s="235"/>
      <c r="O86" s="235"/>
      <c r="P86" s="235"/>
      <c r="Q86" s="235"/>
      <c r="R86" s="235"/>
      <c r="S86" s="235"/>
      <c r="T86" s="235"/>
      <c r="U86" s="235"/>
      <c r="V86" s="235"/>
      <c r="W86" s="235"/>
      <c r="X86" s="235"/>
      <c r="Y86" s="236"/>
      <c r="Z86" s="9"/>
      <c r="AA86" s="106"/>
      <c r="AB86" s="107"/>
      <c r="AC86" s="107"/>
      <c r="AD86" s="108"/>
      <c r="AE86" s="9"/>
      <c r="AF86" s="118"/>
      <c r="AG86" s="119"/>
      <c r="AH86" s="120"/>
      <c r="AI86" s="9"/>
      <c r="AJ86" s="295"/>
      <c r="AK86" s="295"/>
      <c r="AL86" s="295"/>
      <c r="AM86" s="295"/>
      <c r="AN86" s="295"/>
      <c r="AO86" s="295"/>
      <c r="AP86" s="295"/>
      <c r="AQ86" s="295"/>
      <c r="AR86" s="295"/>
      <c r="AS86" s="295"/>
      <c r="AT86" s="295"/>
      <c r="AU86" s="295"/>
      <c r="AV86" s="295"/>
      <c r="AW86" s="295"/>
      <c r="AX86" s="295"/>
      <c r="AZ86" s="61"/>
      <c r="BA86" s="61"/>
      <c r="BB86" s="61"/>
      <c r="BC86" s="61"/>
      <c r="BD86" s="61"/>
      <c r="BE86" s="61"/>
      <c r="BF86" s="61"/>
      <c r="BG86" s="61"/>
      <c r="BH86" s="9"/>
      <c r="BI86" s="53"/>
      <c r="BJ86" s="53"/>
      <c r="BK86" s="53"/>
      <c r="BL86" s="53"/>
      <c r="BM86" s="53"/>
      <c r="BN86" s="53"/>
      <c r="BO86" s="171">
        <f>SUM(BI86+BJ86+BK86+BL86+BM86+BN86)</f>
        <v>0</v>
      </c>
      <c r="BP86" s="172"/>
      <c r="BQ86" s="172"/>
      <c r="BR86" s="172"/>
      <c r="BS86" s="173"/>
      <c r="BT86" s="164">
        <f>SUM(100/BO121)*BO86</f>
        <v>0</v>
      </c>
      <c r="BU86" s="165"/>
      <c r="BV86" s="166"/>
      <c r="BW86" s="9"/>
      <c r="BX86" s="106"/>
      <c r="BY86" s="108"/>
      <c r="BZ86" s="106"/>
      <c r="CA86" s="108"/>
      <c r="CB86" s="106"/>
      <c r="CC86" s="108"/>
      <c r="CD86" s="106"/>
      <c r="CE86" s="108"/>
      <c r="CF86" s="189">
        <f>SUM(BX86+BZ86+CB86+CD86)</f>
        <v>0</v>
      </c>
      <c r="CG86" s="190"/>
      <c r="CH86" s="9"/>
    </row>
    <row r="87" spans="1:86" s="51" customFormat="1" ht="24" customHeight="1" x14ac:dyDescent="0.35">
      <c r="A87" s="9"/>
      <c r="B87" s="109" t="s">
        <v>119</v>
      </c>
      <c r="C87" s="110"/>
      <c r="D87" s="110"/>
      <c r="E87" s="110"/>
      <c r="F87" s="111"/>
      <c r="G87" s="234" t="s">
        <v>153</v>
      </c>
      <c r="H87" s="235"/>
      <c r="I87" s="235"/>
      <c r="J87" s="235"/>
      <c r="K87" s="235"/>
      <c r="L87" s="235"/>
      <c r="M87" s="235"/>
      <c r="N87" s="235"/>
      <c r="O87" s="235"/>
      <c r="P87" s="235"/>
      <c r="Q87" s="235"/>
      <c r="R87" s="235"/>
      <c r="S87" s="235"/>
      <c r="T87" s="235"/>
      <c r="U87" s="235"/>
      <c r="V87" s="235"/>
      <c r="W87" s="235"/>
      <c r="X87" s="235"/>
      <c r="Y87" s="236"/>
      <c r="Z87" s="9"/>
      <c r="AA87" s="106"/>
      <c r="AB87" s="107"/>
      <c r="AC87" s="107"/>
      <c r="AD87" s="108"/>
      <c r="AE87" s="9"/>
      <c r="AF87" s="118"/>
      <c r="AG87" s="119"/>
      <c r="AH87" s="120"/>
      <c r="AI87" s="9"/>
      <c r="AJ87" s="295"/>
      <c r="AK87" s="295"/>
      <c r="AL87" s="295"/>
      <c r="AM87" s="295"/>
      <c r="AN87" s="295"/>
      <c r="AO87" s="295"/>
      <c r="AP87" s="295"/>
      <c r="AQ87" s="295"/>
      <c r="AR87" s="295"/>
      <c r="AS87" s="295"/>
      <c r="AT87" s="295"/>
      <c r="AU87" s="295"/>
      <c r="AV87" s="295"/>
      <c r="AW87" s="295"/>
      <c r="AX87" s="295"/>
      <c r="AZ87" s="61"/>
      <c r="BA87" s="61"/>
      <c r="BB87" s="61"/>
      <c r="BC87" s="61"/>
      <c r="BD87" s="61"/>
      <c r="BE87" s="61"/>
      <c r="BF87" s="61"/>
      <c r="BG87" s="61"/>
      <c r="BH87" s="9"/>
      <c r="BI87" s="53"/>
      <c r="BJ87" s="53"/>
      <c r="BK87" s="53"/>
      <c r="BL87" s="53"/>
      <c r="BM87" s="53"/>
      <c r="BN87" s="53"/>
      <c r="BO87" s="171">
        <f>SUM(BI87+BJ87+BK87+BL87+BM87+BN87)</f>
        <v>0</v>
      </c>
      <c r="BP87" s="172"/>
      <c r="BQ87" s="172"/>
      <c r="BR87" s="172"/>
      <c r="BS87" s="173"/>
      <c r="BT87" s="164">
        <f>SUM(100/BO121)*BO87</f>
        <v>0</v>
      </c>
      <c r="BU87" s="165"/>
      <c r="BV87" s="166"/>
      <c r="BW87" s="9"/>
      <c r="BX87" s="106"/>
      <c r="BY87" s="108"/>
      <c r="BZ87" s="106"/>
      <c r="CA87" s="108"/>
      <c r="CB87" s="106"/>
      <c r="CC87" s="108"/>
      <c r="CD87" s="106"/>
      <c r="CE87" s="108"/>
      <c r="CF87" s="189">
        <f>SUM(BX87+BZ87+CB87+CD87)</f>
        <v>0</v>
      </c>
      <c r="CG87" s="190"/>
      <c r="CH87" s="9"/>
    </row>
    <row r="88" spans="1:86" ht="4.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30"/>
      <c r="BJ88" s="30"/>
      <c r="BK88" s="30"/>
      <c r="BL88" s="30"/>
      <c r="BM88" s="30"/>
      <c r="BN88" s="30"/>
      <c r="BO88" s="30"/>
      <c r="BP88" s="30"/>
      <c r="BQ88" s="30"/>
      <c r="BR88" s="30"/>
      <c r="BS88" s="30"/>
      <c r="BT88" s="41"/>
      <c r="BU88" s="42"/>
      <c r="BV88" s="42"/>
      <c r="BW88" s="9"/>
      <c r="BX88" s="8"/>
      <c r="BY88" s="8"/>
      <c r="BZ88" s="8"/>
      <c r="CA88" s="8"/>
      <c r="CB88" s="8"/>
      <c r="CC88" s="8"/>
      <c r="CD88" s="8"/>
      <c r="CE88" s="8"/>
      <c r="CF88" s="8"/>
      <c r="CG88" s="8"/>
      <c r="CH88" s="1"/>
    </row>
    <row r="89" spans="1:86" s="51" customFormat="1" ht="24" customHeight="1" x14ac:dyDescent="0.35">
      <c r="A89" s="9"/>
      <c r="B89" s="194" t="s">
        <v>114</v>
      </c>
      <c r="C89" s="195"/>
      <c r="D89" s="195"/>
      <c r="E89" s="195"/>
      <c r="F89" s="196"/>
      <c r="G89" s="103" t="s">
        <v>120</v>
      </c>
      <c r="H89" s="104"/>
      <c r="I89" s="104"/>
      <c r="J89" s="104"/>
      <c r="K89" s="104"/>
      <c r="L89" s="104"/>
      <c r="M89" s="104"/>
      <c r="N89" s="104"/>
      <c r="O89" s="104"/>
      <c r="P89" s="104"/>
      <c r="Q89" s="104"/>
      <c r="R89" s="104"/>
      <c r="S89" s="104"/>
      <c r="T89" s="104"/>
      <c r="U89" s="104"/>
      <c r="V89" s="104"/>
      <c r="W89" s="104"/>
      <c r="X89" s="104"/>
      <c r="Y89" s="105"/>
      <c r="Z89" s="8"/>
      <c r="AA89" s="189">
        <f>SUM(AA83:AA87)</f>
        <v>0</v>
      </c>
      <c r="AB89" s="201"/>
      <c r="AC89" s="201"/>
      <c r="AD89" s="190"/>
      <c r="AE89" s="8"/>
      <c r="AF89" s="174">
        <f>MEDIAN(AF83:AF87)</f>
        <v>0</v>
      </c>
      <c r="AG89" s="175"/>
      <c r="AH89" s="176"/>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56">
        <f t="shared" ref="BI89:BN89" si="13">SUM(BI83:BI87)</f>
        <v>0</v>
      </c>
      <c r="BJ89" s="56">
        <f t="shared" si="13"/>
        <v>0</v>
      </c>
      <c r="BK89" s="56">
        <f t="shared" si="13"/>
        <v>0</v>
      </c>
      <c r="BL89" s="56">
        <f t="shared" si="13"/>
        <v>0</v>
      </c>
      <c r="BM89" s="56">
        <f t="shared" si="13"/>
        <v>0</v>
      </c>
      <c r="BN89" s="56">
        <f t="shared" si="13"/>
        <v>0</v>
      </c>
      <c r="BO89" s="171">
        <f>SUM(BI89+BJ89+BK89+BL89+BM89+BN89)</f>
        <v>0</v>
      </c>
      <c r="BP89" s="172"/>
      <c r="BQ89" s="172"/>
      <c r="BR89" s="172"/>
      <c r="BS89" s="173"/>
      <c r="BT89" s="164">
        <f>SUM(100/BO121)*BO89</f>
        <v>0</v>
      </c>
      <c r="BU89" s="165"/>
      <c r="BV89" s="166"/>
      <c r="BW89" s="8"/>
      <c r="BX89" s="174">
        <f>SUM(BX83:BX87)</f>
        <v>0</v>
      </c>
      <c r="BY89" s="176"/>
      <c r="BZ89" s="174">
        <f>SUM(BZ83:BZ87)</f>
        <v>0</v>
      </c>
      <c r="CA89" s="176"/>
      <c r="CB89" s="174">
        <f>SUM(CB83:CB87)</f>
        <v>0</v>
      </c>
      <c r="CC89" s="176"/>
      <c r="CD89" s="174">
        <f>SUM(CD83:CD87)</f>
        <v>0</v>
      </c>
      <c r="CE89" s="176"/>
      <c r="CF89" s="174">
        <f>SUM(CF83:CF87)</f>
        <v>0</v>
      </c>
      <c r="CG89" s="176"/>
      <c r="CH89" s="9"/>
    </row>
    <row r="90" spans="1:86" ht="4.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8"/>
      <c r="BY90" s="8"/>
      <c r="BZ90" s="8"/>
      <c r="CA90" s="8"/>
      <c r="CB90" s="8"/>
      <c r="CC90" s="8"/>
      <c r="CD90" s="8"/>
      <c r="CE90" s="8"/>
      <c r="CF90" s="8"/>
      <c r="CG90" s="8"/>
      <c r="CH90" s="1"/>
    </row>
    <row r="91" spans="1:86" ht="4.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8"/>
      <c r="BY91" s="8"/>
      <c r="BZ91" s="8"/>
      <c r="CA91" s="8"/>
      <c r="CB91" s="8"/>
      <c r="CC91" s="8"/>
      <c r="CD91" s="8"/>
      <c r="CE91" s="8"/>
      <c r="CF91" s="8"/>
      <c r="CG91" s="8"/>
      <c r="CH91" s="1"/>
    </row>
    <row r="92" spans="1:86" ht="19.5" customHeight="1" x14ac:dyDescent="0.35">
      <c r="A92" s="1"/>
      <c r="B92" s="149" t="s">
        <v>54</v>
      </c>
      <c r="C92" s="150"/>
      <c r="D92" s="150"/>
      <c r="E92" s="150"/>
      <c r="F92" s="151"/>
      <c r="G92" s="149" t="s">
        <v>52</v>
      </c>
      <c r="H92" s="150"/>
      <c r="I92" s="150"/>
      <c r="J92" s="150"/>
      <c r="K92" s="150"/>
      <c r="L92" s="150"/>
      <c r="M92" s="150"/>
      <c r="N92" s="150"/>
      <c r="O92" s="150"/>
      <c r="P92" s="150"/>
      <c r="Q92" s="150"/>
      <c r="R92" s="150"/>
      <c r="S92" s="150"/>
      <c r="T92" s="150"/>
      <c r="U92" s="150"/>
      <c r="V92" s="150"/>
      <c r="W92" s="150"/>
      <c r="X92" s="150"/>
      <c r="Y92" s="151"/>
      <c r="Z92" s="1"/>
      <c r="AA92" s="205" t="s">
        <v>161</v>
      </c>
      <c r="AB92" s="206"/>
      <c r="AC92" s="206"/>
      <c r="AD92" s="207"/>
      <c r="AE92" s="1"/>
      <c r="AF92" s="205" t="s">
        <v>162</v>
      </c>
      <c r="AG92" s="206"/>
      <c r="AH92" s="207"/>
      <c r="AI92" s="1"/>
      <c r="AJ92" s="162" t="s">
        <v>177</v>
      </c>
      <c r="AK92" s="162"/>
      <c r="AL92" s="162"/>
      <c r="AM92" s="162"/>
      <c r="AN92" s="162"/>
      <c r="AO92" s="162"/>
      <c r="AP92" s="162"/>
      <c r="AQ92" s="162"/>
      <c r="AR92" s="162"/>
      <c r="AS92" s="162"/>
      <c r="AT92" s="162"/>
      <c r="AU92" s="162"/>
      <c r="AV92" s="162"/>
      <c r="AW92" s="162"/>
      <c r="AX92" s="162"/>
      <c r="AY92" s="1"/>
      <c r="AZ92" s="115" t="s">
        <v>163</v>
      </c>
      <c r="BA92" s="116"/>
      <c r="BB92" s="116"/>
      <c r="BC92" s="116"/>
      <c r="BD92" s="116"/>
      <c r="BE92" s="116"/>
      <c r="BF92" s="116"/>
      <c r="BG92" s="117"/>
      <c r="BH92" s="9"/>
      <c r="BI92" s="115" t="s">
        <v>164</v>
      </c>
      <c r="BJ92" s="116"/>
      <c r="BK92" s="116"/>
      <c r="BL92" s="116"/>
      <c r="BM92" s="116"/>
      <c r="BN92" s="116"/>
      <c r="BO92" s="116"/>
      <c r="BP92" s="116"/>
      <c r="BQ92" s="116"/>
      <c r="BR92" s="116"/>
      <c r="BS92" s="116"/>
      <c r="BT92" s="116"/>
      <c r="BU92" s="116"/>
      <c r="BV92" s="117"/>
      <c r="BW92" s="9"/>
      <c r="BX92" s="205" t="s">
        <v>176</v>
      </c>
      <c r="BY92" s="206"/>
      <c r="BZ92" s="206"/>
      <c r="CA92" s="206"/>
      <c r="CB92" s="206"/>
      <c r="CC92" s="206"/>
      <c r="CD92" s="206"/>
      <c r="CE92" s="206"/>
      <c r="CF92" s="206"/>
      <c r="CG92" s="207"/>
      <c r="CH92" s="1"/>
    </row>
    <row r="93" spans="1:86" ht="16" customHeight="1" x14ac:dyDescent="0.35">
      <c r="A93" s="1"/>
      <c r="B93" s="152"/>
      <c r="C93" s="153"/>
      <c r="D93" s="153"/>
      <c r="E93" s="153"/>
      <c r="F93" s="154"/>
      <c r="G93" s="152"/>
      <c r="H93" s="153"/>
      <c r="I93" s="153"/>
      <c r="J93" s="153"/>
      <c r="K93" s="153"/>
      <c r="L93" s="153"/>
      <c r="M93" s="153"/>
      <c r="N93" s="153"/>
      <c r="O93" s="153"/>
      <c r="P93" s="153"/>
      <c r="Q93" s="153"/>
      <c r="R93" s="153"/>
      <c r="S93" s="153"/>
      <c r="T93" s="153"/>
      <c r="U93" s="153"/>
      <c r="V93" s="153"/>
      <c r="W93" s="153"/>
      <c r="X93" s="153"/>
      <c r="Y93" s="154"/>
      <c r="Z93" s="1"/>
      <c r="AA93" s="152" t="s">
        <v>134</v>
      </c>
      <c r="AB93" s="153"/>
      <c r="AC93" s="153"/>
      <c r="AD93" s="154"/>
      <c r="AE93" s="1"/>
      <c r="AF93" s="152" t="s">
        <v>155</v>
      </c>
      <c r="AG93" s="153"/>
      <c r="AH93" s="154"/>
      <c r="AI93" s="1"/>
      <c r="AJ93" s="162"/>
      <c r="AK93" s="162"/>
      <c r="AL93" s="162"/>
      <c r="AM93" s="162"/>
      <c r="AN93" s="162"/>
      <c r="AO93" s="162"/>
      <c r="AP93" s="162"/>
      <c r="AQ93" s="162"/>
      <c r="AR93" s="162"/>
      <c r="AS93" s="162"/>
      <c r="AT93" s="162"/>
      <c r="AU93" s="162"/>
      <c r="AV93" s="162"/>
      <c r="AW93" s="162"/>
      <c r="AX93" s="162"/>
      <c r="AY93" s="1"/>
      <c r="AZ93" s="174" t="s">
        <v>55</v>
      </c>
      <c r="BA93" s="175"/>
      <c r="BB93" s="175"/>
      <c r="BC93" s="176"/>
      <c r="BD93" s="174" t="s">
        <v>56</v>
      </c>
      <c r="BE93" s="175"/>
      <c r="BF93" s="176"/>
      <c r="BG93" s="24" t="s">
        <v>48</v>
      </c>
      <c r="BH93" s="9"/>
      <c r="BI93" s="82" t="s">
        <v>67</v>
      </c>
      <c r="BJ93" s="83"/>
      <c r="BK93" s="83"/>
      <c r="BL93" s="83"/>
      <c r="BM93" s="83"/>
      <c r="BN93" s="83"/>
      <c r="BO93" s="83"/>
      <c r="BP93" s="83"/>
      <c r="BQ93" s="83"/>
      <c r="BR93" s="83"/>
      <c r="BS93" s="84"/>
      <c r="BT93" s="219" t="s">
        <v>175</v>
      </c>
      <c r="BU93" s="220"/>
      <c r="BV93" s="221"/>
      <c r="BW93" s="9"/>
      <c r="BX93" s="208"/>
      <c r="BY93" s="209"/>
      <c r="BZ93" s="209"/>
      <c r="CA93" s="209"/>
      <c r="CB93" s="209"/>
      <c r="CC93" s="209"/>
      <c r="CD93" s="209"/>
      <c r="CE93" s="209"/>
      <c r="CF93" s="209"/>
      <c r="CG93" s="210"/>
      <c r="CH93" s="1"/>
    </row>
    <row r="94" spans="1:86" ht="16" customHeight="1" x14ac:dyDescent="0.35">
      <c r="A94" s="1"/>
      <c r="B94" s="152"/>
      <c r="C94" s="153"/>
      <c r="D94" s="153"/>
      <c r="E94" s="153"/>
      <c r="F94" s="154"/>
      <c r="G94" s="152"/>
      <c r="H94" s="153"/>
      <c r="I94" s="153"/>
      <c r="J94" s="153"/>
      <c r="K94" s="153"/>
      <c r="L94" s="153"/>
      <c r="M94" s="153"/>
      <c r="N94" s="153"/>
      <c r="O94" s="153"/>
      <c r="P94" s="153"/>
      <c r="Q94" s="153"/>
      <c r="R94" s="153"/>
      <c r="S94" s="153"/>
      <c r="T94" s="153"/>
      <c r="U94" s="153"/>
      <c r="V94" s="153"/>
      <c r="W94" s="153"/>
      <c r="X94" s="153"/>
      <c r="Y94" s="154"/>
      <c r="Z94" s="1"/>
      <c r="AA94" s="152"/>
      <c r="AB94" s="153"/>
      <c r="AC94" s="153"/>
      <c r="AD94" s="154"/>
      <c r="AE94" s="1"/>
      <c r="AF94" s="152"/>
      <c r="AG94" s="153"/>
      <c r="AH94" s="154"/>
      <c r="AI94" s="1"/>
      <c r="AJ94" s="163" t="s">
        <v>44</v>
      </c>
      <c r="AK94" s="163"/>
      <c r="AL94" s="163"/>
      <c r="AM94" s="163"/>
      <c r="AN94" s="163"/>
      <c r="AO94" s="163"/>
      <c r="AP94" s="163"/>
      <c r="AQ94" s="163"/>
      <c r="AR94" s="163"/>
      <c r="AS94" s="163"/>
      <c r="AT94" s="163"/>
      <c r="AU94" s="163"/>
      <c r="AV94" s="163"/>
      <c r="AW94" s="163"/>
      <c r="AX94" s="163"/>
      <c r="AY94" s="1"/>
      <c r="AZ94" s="63" t="s">
        <v>161</v>
      </c>
      <c r="BA94" s="63" t="s">
        <v>162</v>
      </c>
      <c r="BB94" s="63" t="s">
        <v>165</v>
      </c>
      <c r="BC94" s="63" t="s">
        <v>166</v>
      </c>
      <c r="BD94" s="63" t="s">
        <v>167</v>
      </c>
      <c r="BE94" s="63" t="s">
        <v>168</v>
      </c>
      <c r="BF94" s="63" t="s">
        <v>169</v>
      </c>
      <c r="BG94" s="63" t="s">
        <v>170</v>
      </c>
      <c r="BH94" s="9"/>
      <c r="BI94" s="167" t="s">
        <v>216</v>
      </c>
      <c r="BJ94" s="167" t="s">
        <v>171</v>
      </c>
      <c r="BK94" s="167" t="s">
        <v>215</v>
      </c>
      <c r="BL94" s="167" t="s">
        <v>172</v>
      </c>
      <c r="BM94" s="167" t="s">
        <v>217</v>
      </c>
      <c r="BN94" s="167" t="s">
        <v>173</v>
      </c>
      <c r="BO94" s="219" t="s">
        <v>174</v>
      </c>
      <c r="BP94" s="220"/>
      <c r="BQ94" s="220"/>
      <c r="BR94" s="220"/>
      <c r="BS94" s="221"/>
      <c r="BT94" s="225"/>
      <c r="BU94" s="226"/>
      <c r="BV94" s="227"/>
      <c r="BW94" s="9"/>
      <c r="BX94" s="211"/>
      <c r="BY94" s="212"/>
      <c r="BZ94" s="212"/>
      <c r="CA94" s="212"/>
      <c r="CB94" s="212"/>
      <c r="CC94" s="212"/>
      <c r="CD94" s="212"/>
      <c r="CE94" s="212"/>
      <c r="CF94" s="212"/>
      <c r="CG94" s="213"/>
      <c r="CH94" s="1"/>
    </row>
    <row r="95" spans="1:86" ht="30.5" customHeight="1" x14ac:dyDescent="0.35">
      <c r="A95" s="1"/>
      <c r="B95" s="155"/>
      <c r="C95" s="156"/>
      <c r="D95" s="156"/>
      <c r="E95" s="156"/>
      <c r="F95" s="157"/>
      <c r="G95" s="155"/>
      <c r="H95" s="156"/>
      <c r="I95" s="156"/>
      <c r="J95" s="156"/>
      <c r="K95" s="156"/>
      <c r="L95" s="156"/>
      <c r="M95" s="156"/>
      <c r="N95" s="156"/>
      <c r="O95" s="156"/>
      <c r="P95" s="156"/>
      <c r="Q95" s="156"/>
      <c r="R95" s="156"/>
      <c r="S95" s="156"/>
      <c r="T95" s="156"/>
      <c r="U95" s="156"/>
      <c r="V95" s="156"/>
      <c r="W95" s="156"/>
      <c r="X95" s="156"/>
      <c r="Y95" s="157"/>
      <c r="Z95" s="1"/>
      <c r="AA95" s="155"/>
      <c r="AB95" s="156"/>
      <c r="AC95" s="156"/>
      <c r="AD95" s="157"/>
      <c r="AE95" s="1"/>
      <c r="AF95" s="155"/>
      <c r="AG95" s="156"/>
      <c r="AH95" s="157"/>
      <c r="AI95" s="1"/>
      <c r="AJ95" s="161">
        <v>2026</v>
      </c>
      <c r="AK95" s="161"/>
      <c r="AL95" s="161"/>
      <c r="AM95" s="161">
        <v>2027</v>
      </c>
      <c r="AN95" s="161"/>
      <c r="AO95" s="161"/>
      <c r="AP95" s="161">
        <v>2028</v>
      </c>
      <c r="AQ95" s="161"/>
      <c r="AR95" s="161"/>
      <c r="AS95" s="161">
        <v>2029</v>
      </c>
      <c r="AT95" s="161"/>
      <c r="AU95" s="161"/>
      <c r="AV95" s="161">
        <v>2030</v>
      </c>
      <c r="AW95" s="161"/>
      <c r="AX95" s="161"/>
      <c r="AY95" s="1"/>
      <c r="AZ95" s="24" t="s">
        <v>46</v>
      </c>
      <c r="BA95" s="24" t="s">
        <v>45</v>
      </c>
      <c r="BB95" s="24" t="s">
        <v>47</v>
      </c>
      <c r="BC95" s="24" t="s">
        <v>49</v>
      </c>
      <c r="BD95" s="24" t="s">
        <v>50</v>
      </c>
      <c r="BE95" s="24" t="s">
        <v>51</v>
      </c>
      <c r="BF95" s="24" t="s">
        <v>64</v>
      </c>
      <c r="BG95" s="24" t="s">
        <v>48</v>
      </c>
      <c r="BH95" s="9"/>
      <c r="BI95" s="167"/>
      <c r="BJ95" s="167"/>
      <c r="BK95" s="167"/>
      <c r="BL95" s="167"/>
      <c r="BM95" s="167"/>
      <c r="BN95" s="167"/>
      <c r="BO95" s="222"/>
      <c r="BP95" s="223"/>
      <c r="BQ95" s="223"/>
      <c r="BR95" s="223"/>
      <c r="BS95" s="224"/>
      <c r="BT95" s="222"/>
      <c r="BU95" s="223"/>
      <c r="BV95" s="224"/>
      <c r="BW95" s="9"/>
      <c r="BX95" s="200" t="s">
        <v>8</v>
      </c>
      <c r="BY95" s="200"/>
      <c r="BZ95" s="200" t="s">
        <v>9</v>
      </c>
      <c r="CA95" s="200"/>
      <c r="CB95" s="200" t="s">
        <v>10</v>
      </c>
      <c r="CC95" s="200"/>
      <c r="CD95" s="192" t="s">
        <v>11</v>
      </c>
      <c r="CE95" s="193"/>
      <c r="CF95" s="192" t="s">
        <v>19</v>
      </c>
      <c r="CG95" s="193"/>
      <c r="CH95" s="1"/>
    </row>
    <row r="96" spans="1:86" ht="4.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8"/>
      <c r="BY96" s="8"/>
      <c r="BZ96" s="8"/>
      <c r="CA96" s="8"/>
      <c r="CB96" s="8"/>
      <c r="CC96" s="8"/>
      <c r="CD96" s="8"/>
      <c r="CE96" s="8"/>
      <c r="CF96" s="8"/>
      <c r="CG96" s="8"/>
      <c r="CH96" s="1"/>
    </row>
    <row r="97" spans="1:86" s="51" customFormat="1" ht="24" customHeight="1" x14ac:dyDescent="0.35">
      <c r="A97" s="9"/>
      <c r="B97" s="194" t="s">
        <v>121</v>
      </c>
      <c r="C97" s="195"/>
      <c r="D97" s="195"/>
      <c r="E97" s="195"/>
      <c r="F97" s="196"/>
      <c r="G97" s="194" t="s">
        <v>154</v>
      </c>
      <c r="H97" s="195"/>
      <c r="I97" s="195"/>
      <c r="J97" s="195"/>
      <c r="K97" s="195"/>
      <c r="L97" s="195"/>
      <c r="M97" s="195"/>
      <c r="N97" s="195"/>
      <c r="O97" s="195"/>
      <c r="P97" s="195"/>
      <c r="Q97" s="195"/>
      <c r="R97" s="195"/>
      <c r="S97" s="195"/>
      <c r="T97" s="195"/>
      <c r="U97" s="195"/>
      <c r="V97" s="195"/>
      <c r="W97" s="195"/>
      <c r="X97" s="195"/>
      <c r="Y97" s="196"/>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30"/>
      <c r="BJ97" s="30"/>
      <c r="BK97" s="30"/>
      <c r="BL97" s="30"/>
      <c r="BM97" s="30"/>
      <c r="BN97" s="30"/>
      <c r="BO97" s="28"/>
      <c r="BP97" s="28"/>
      <c r="BQ97" s="28"/>
      <c r="BR97" s="28"/>
      <c r="BS97" s="28"/>
      <c r="BT97" s="28"/>
      <c r="BU97" s="27"/>
      <c r="BV97" s="27"/>
      <c r="BW97" s="9"/>
      <c r="BX97" s="191"/>
      <c r="BY97" s="191"/>
      <c r="BZ97" s="191"/>
      <c r="CA97" s="191"/>
      <c r="CB97" s="191"/>
      <c r="CC97" s="191"/>
      <c r="CD97" s="191"/>
      <c r="CE97" s="191"/>
      <c r="CF97" s="191"/>
      <c r="CG97" s="191"/>
      <c r="CH97" s="9"/>
    </row>
    <row r="98" spans="1:86" s="51" customFormat="1" ht="24" customHeight="1" x14ac:dyDescent="0.35">
      <c r="A98" s="9"/>
      <c r="B98" s="109" t="s">
        <v>122</v>
      </c>
      <c r="C98" s="110"/>
      <c r="D98" s="110"/>
      <c r="E98" s="110"/>
      <c r="F98" s="111"/>
      <c r="G98" s="234" t="s">
        <v>211</v>
      </c>
      <c r="H98" s="235"/>
      <c r="I98" s="235"/>
      <c r="J98" s="235"/>
      <c r="K98" s="235"/>
      <c r="L98" s="235"/>
      <c r="M98" s="235"/>
      <c r="N98" s="235"/>
      <c r="O98" s="235"/>
      <c r="P98" s="235"/>
      <c r="Q98" s="235"/>
      <c r="R98" s="235"/>
      <c r="S98" s="235"/>
      <c r="T98" s="235"/>
      <c r="U98" s="235"/>
      <c r="V98" s="235"/>
      <c r="W98" s="235"/>
      <c r="X98" s="235"/>
      <c r="Y98" s="236"/>
      <c r="Z98" s="9"/>
      <c r="AA98" s="106"/>
      <c r="AB98" s="107"/>
      <c r="AC98" s="107"/>
      <c r="AD98" s="108"/>
      <c r="AE98" s="9"/>
      <c r="AF98" s="118">
        <v>0</v>
      </c>
      <c r="AG98" s="119"/>
      <c r="AH98" s="120"/>
      <c r="AI98" s="9"/>
      <c r="AJ98" s="295"/>
      <c r="AK98" s="295"/>
      <c r="AL98" s="295"/>
      <c r="AM98" s="295"/>
      <c r="AN98" s="295"/>
      <c r="AO98" s="295"/>
      <c r="AP98" s="295"/>
      <c r="AQ98" s="295"/>
      <c r="AR98" s="295"/>
      <c r="AS98" s="295"/>
      <c r="AT98" s="295"/>
      <c r="AU98" s="295"/>
      <c r="AV98" s="295"/>
      <c r="AW98" s="295"/>
      <c r="AX98" s="295"/>
      <c r="AZ98" s="61"/>
      <c r="BA98" s="61"/>
      <c r="BB98" s="61"/>
      <c r="BC98" s="61"/>
      <c r="BD98" s="61"/>
      <c r="BE98" s="61"/>
      <c r="BF98" s="61"/>
      <c r="BG98" s="61"/>
      <c r="BH98" s="9"/>
      <c r="BI98" s="53"/>
      <c r="BJ98" s="53"/>
      <c r="BK98" s="53"/>
      <c r="BL98" s="53"/>
      <c r="BM98" s="53"/>
      <c r="BN98" s="53"/>
      <c r="BO98" s="171">
        <f>SUM(BI98+BJ98+BK98+BL98+BM98+BN98)</f>
        <v>0</v>
      </c>
      <c r="BP98" s="172"/>
      <c r="BQ98" s="172"/>
      <c r="BR98" s="172"/>
      <c r="BS98" s="173"/>
      <c r="BT98" s="164">
        <f>SUM(100/BO121)*BO98</f>
        <v>0</v>
      </c>
      <c r="BU98" s="165"/>
      <c r="BV98" s="166"/>
      <c r="BW98" s="9"/>
      <c r="BX98" s="106"/>
      <c r="BY98" s="108"/>
      <c r="BZ98" s="106"/>
      <c r="CA98" s="108"/>
      <c r="CB98" s="106"/>
      <c r="CC98" s="108"/>
      <c r="CD98" s="106"/>
      <c r="CE98" s="108"/>
      <c r="CF98" s="189">
        <f>SUM(BX98+BZ98+CB98+CD98)</f>
        <v>0</v>
      </c>
      <c r="CG98" s="190"/>
      <c r="CH98" s="9"/>
    </row>
    <row r="99" spans="1:86" s="51" customFormat="1" ht="24" customHeight="1" x14ac:dyDescent="0.35">
      <c r="A99" s="9"/>
      <c r="B99" s="109" t="s">
        <v>123</v>
      </c>
      <c r="C99" s="110"/>
      <c r="D99" s="110"/>
      <c r="E99" s="110"/>
      <c r="F99" s="111"/>
      <c r="G99" s="234" t="s">
        <v>200</v>
      </c>
      <c r="H99" s="235"/>
      <c r="I99" s="235"/>
      <c r="J99" s="235"/>
      <c r="K99" s="235"/>
      <c r="L99" s="235"/>
      <c r="M99" s="235"/>
      <c r="N99" s="235"/>
      <c r="O99" s="235"/>
      <c r="P99" s="235"/>
      <c r="Q99" s="235"/>
      <c r="R99" s="235"/>
      <c r="S99" s="235"/>
      <c r="T99" s="235"/>
      <c r="U99" s="235"/>
      <c r="V99" s="235"/>
      <c r="W99" s="235"/>
      <c r="X99" s="235"/>
      <c r="Y99" s="236"/>
      <c r="Z99" s="9"/>
      <c r="AA99" s="106"/>
      <c r="AB99" s="107"/>
      <c r="AC99" s="107"/>
      <c r="AD99" s="108"/>
      <c r="AE99" s="9"/>
      <c r="AF99" s="118"/>
      <c r="AG99" s="119"/>
      <c r="AH99" s="120"/>
      <c r="AI99" s="9"/>
      <c r="AJ99" s="295"/>
      <c r="AK99" s="295"/>
      <c r="AL99" s="295"/>
      <c r="AM99" s="295"/>
      <c r="AN99" s="295"/>
      <c r="AO99" s="295"/>
      <c r="AP99" s="295"/>
      <c r="AQ99" s="295"/>
      <c r="AR99" s="295"/>
      <c r="AS99" s="295"/>
      <c r="AT99" s="295"/>
      <c r="AU99" s="295"/>
      <c r="AV99" s="295"/>
      <c r="AW99" s="295"/>
      <c r="AX99" s="295"/>
      <c r="AZ99" s="61"/>
      <c r="BA99" s="61"/>
      <c r="BB99" s="61"/>
      <c r="BC99" s="61"/>
      <c r="BD99" s="61"/>
      <c r="BE99" s="61"/>
      <c r="BF99" s="61"/>
      <c r="BG99" s="61"/>
      <c r="BH99" s="9"/>
      <c r="BI99" s="53"/>
      <c r="BJ99" s="53"/>
      <c r="BK99" s="53"/>
      <c r="BL99" s="53"/>
      <c r="BM99" s="53"/>
      <c r="BN99" s="53"/>
      <c r="BO99" s="171">
        <f>SUM(BI99+BJ99+BK99+BL99+BM99+BN99)</f>
        <v>0</v>
      </c>
      <c r="BP99" s="172"/>
      <c r="BQ99" s="172"/>
      <c r="BR99" s="172"/>
      <c r="BS99" s="173"/>
      <c r="BT99" s="164">
        <f>SUM(100/BO121)*BO99</f>
        <v>0</v>
      </c>
      <c r="BU99" s="165"/>
      <c r="BV99" s="166"/>
      <c r="BW99" s="9"/>
      <c r="BX99" s="106"/>
      <c r="BY99" s="108"/>
      <c r="BZ99" s="106"/>
      <c r="CA99" s="108"/>
      <c r="CB99" s="106"/>
      <c r="CC99" s="108"/>
      <c r="CD99" s="106"/>
      <c r="CE99" s="108"/>
      <c r="CF99" s="189">
        <f>SUM(BX99+BZ99+CB99+CD99)</f>
        <v>0</v>
      </c>
      <c r="CG99" s="190"/>
      <c r="CH99" s="9"/>
    </row>
    <row r="100" spans="1:86" s="51" customFormat="1" ht="24" customHeight="1" x14ac:dyDescent="0.35">
      <c r="A100" s="9"/>
      <c r="B100" s="109" t="s">
        <v>124</v>
      </c>
      <c r="C100" s="110"/>
      <c r="D100" s="110"/>
      <c r="E100" s="110"/>
      <c r="F100" s="111"/>
      <c r="G100" s="234" t="s">
        <v>201</v>
      </c>
      <c r="H100" s="235"/>
      <c r="I100" s="235"/>
      <c r="J100" s="235"/>
      <c r="K100" s="235"/>
      <c r="L100" s="235"/>
      <c r="M100" s="235"/>
      <c r="N100" s="235"/>
      <c r="O100" s="235"/>
      <c r="P100" s="235"/>
      <c r="Q100" s="235"/>
      <c r="R100" s="235"/>
      <c r="S100" s="235"/>
      <c r="T100" s="235"/>
      <c r="U100" s="235"/>
      <c r="V100" s="235"/>
      <c r="W100" s="235"/>
      <c r="X100" s="235"/>
      <c r="Y100" s="236"/>
      <c r="Z100" s="9"/>
      <c r="AA100" s="106"/>
      <c r="AB100" s="107"/>
      <c r="AC100" s="107"/>
      <c r="AD100" s="108"/>
      <c r="AE100" s="9"/>
      <c r="AF100" s="118"/>
      <c r="AG100" s="119"/>
      <c r="AH100" s="120"/>
      <c r="AI100" s="9"/>
      <c r="AJ100" s="295"/>
      <c r="AK100" s="295"/>
      <c r="AL100" s="295"/>
      <c r="AM100" s="295"/>
      <c r="AN100" s="295"/>
      <c r="AO100" s="295"/>
      <c r="AP100" s="295"/>
      <c r="AQ100" s="295"/>
      <c r="AR100" s="295"/>
      <c r="AS100" s="295"/>
      <c r="AT100" s="295"/>
      <c r="AU100" s="295"/>
      <c r="AV100" s="295"/>
      <c r="AW100" s="295"/>
      <c r="AX100" s="295"/>
      <c r="AZ100" s="61"/>
      <c r="BA100" s="61"/>
      <c r="BB100" s="61"/>
      <c r="BC100" s="61"/>
      <c r="BD100" s="61"/>
      <c r="BE100" s="61"/>
      <c r="BF100" s="61"/>
      <c r="BG100" s="61"/>
      <c r="BH100" s="9"/>
      <c r="BI100" s="53"/>
      <c r="BJ100" s="53"/>
      <c r="BK100" s="53"/>
      <c r="BL100" s="53"/>
      <c r="BM100" s="53"/>
      <c r="BN100" s="53"/>
      <c r="BO100" s="171">
        <f>SUM(BI100+BJ100+BK100+BL100+BM100+BN100)</f>
        <v>0</v>
      </c>
      <c r="BP100" s="172"/>
      <c r="BQ100" s="172"/>
      <c r="BR100" s="172"/>
      <c r="BS100" s="173"/>
      <c r="BT100" s="164">
        <f>SUM(100/BO121)*BO100</f>
        <v>0</v>
      </c>
      <c r="BU100" s="165"/>
      <c r="BV100" s="166"/>
      <c r="BW100" s="9"/>
      <c r="BX100" s="106"/>
      <c r="BY100" s="108"/>
      <c r="BZ100" s="106"/>
      <c r="CA100" s="108"/>
      <c r="CB100" s="106"/>
      <c r="CC100" s="108"/>
      <c r="CD100" s="106"/>
      <c r="CE100" s="108"/>
      <c r="CF100" s="189">
        <f>SUM(BX100+BZ100+CB100+CD100)</f>
        <v>0</v>
      </c>
      <c r="CG100" s="190"/>
      <c r="CH100" s="9"/>
    </row>
    <row r="101" spans="1:86" s="51" customFormat="1" ht="24" customHeight="1" x14ac:dyDescent="0.35">
      <c r="A101" s="9"/>
      <c r="B101" s="109" t="s">
        <v>125</v>
      </c>
      <c r="C101" s="110"/>
      <c r="D101" s="110"/>
      <c r="E101" s="110"/>
      <c r="F101" s="111"/>
      <c r="G101" s="234" t="s">
        <v>202</v>
      </c>
      <c r="H101" s="235"/>
      <c r="I101" s="235"/>
      <c r="J101" s="235"/>
      <c r="K101" s="235"/>
      <c r="L101" s="235"/>
      <c r="M101" s="235"/>
      <c r="N101" s="235"/>
      <c r="O101" s="235"/>
      <c r="P101" s="235"/>
      <c r="Q101" s="235"/>
      <c r="R101" s="235"/>
      <c r="S101" s="235"/>
      <c r="T101" s="235"/>
      <c r="U101" s="235"/>
      <c r="V101" s="235"/>
      <c r="W101" s="235"/>
      <c r="X101" s="235"/>
      <c r="Y101" s="236"/>
      <c r="Z101" s="9"/>
      <c r="AA101" s="106"/>
      <c r="AB101" s="107"/>
      <c r="AC101" s="107"/>
      <c r="AD101" s="108"/>
      <c r="AE101" s="9"/>
      <c r="AF101" s="118"/>
      <c r="AG101" s="119"/>
      <c r="AH101" s="120"/>
      <c r="AI101" s="9"/>
      <c r="AJ101" s="295"/>
      <c r="AK101" s="295"/>
      <c r="AL101" s="295"/>
      <c r="AM101" s="295"/>
      <c r="AN101" s="295"/>
      <c r="AO101" s="295"/>
      <c r="AP101" s="295"/>
      <c r="AQ101" s="295"/>
      <c r="AR101" s="295"/>
      <c r="AS101" s="295"/>
      <c r="AT101" s="295"/>
      <c r="AU101" s="295"/>
      <c r="AV101" s="295"/>
      <c r="AW101" s="295"/>
      <c r="AX101" s="295"/>
      <c r="AZ101" s="61"/>
      <c r="BA101" s="61"/>
      <c r="BB101" s="61"/>
      <c r="BC101" s="61"/>
      <c r="BD101" s="61"/>
      <c r="BE101" s="61"/>
      <c r="BF101" s="61"/>
      <c r="BG101" s="61"/>
      <c r="BH101" s="9"/>
      <c r="BI101" s="53"/>
      <c r="BJ101" s="53"/>
      <c r="BK101" s="53"/>
      <c r="BL101" s="53"/>
      <c r="BM101" s="53"/>
      <c r="BN101" s="53"/>
      <c r="BO101" s="171">
        <f>SUM(BI101+BJ101+BK101+BL101+BM101+BN101)</f>
        <v>0</v>
      </c>
      <c r="BP101" s="172"/>
      <c r="BQ101" s="172"/>
      <c r="BR101" s="172"/>
      <c r="BS101" s="173"/>
      <c r="BT101" s="164">
        <f>SUM(100/BO121)*BO101</f>
        <v>0</v>
      </c>
      <c r="BU101" s="165"/>
      <c r="BV101" s="166"/>
      <c r="BW101" s="9"/>
      <c r="BX101" s="106"/>
      <c r="BY101" s="108"/>
      <c r="BZ101" s="106"/>
      <c r="CA101" s="108"/>
      <c r="CB101" s="106"/>
      <c r="CC101" s="108"/>
      <c r="CD101" s="106"/>
      <c r="CE101" s="108"/>
      <c r="CF101" s="189">
        <f>SUM(BX101+BZ101+CB101+CD101)</f>
        <v>0</v>
      </c>
      <c r="CG101" s="190"/>
      <c r="CH101" s="9"/>
    </row>
    <row r="102" spans="1:86" ht="4.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30"/>
      <c r="BJ102" s="30"/>
      <c r="BK102" s="30"/>
      <c r="BL102" s="30"/>
      <c r="BM102" s="30"/>
      <c r="BN102" s="30"/>
      <c r="BO102" s="28"/>
      <c r="BP102" s="28"/>
      <c r="BQ102" s="28"/>
      <c r="BR102" s="28"/>
      <c r="BS102" s="28"/>
      <c r="BT102" s="42"/>
      <c r="BU102" s="44"/>
      <c r="BV102" s="44"/>
      <c r="BW102" s="9"/>
      <c r="BX102" s="8"/>
      <c r="BY102" s="8"/>
      <c r="BZ102" s="8"/>
      <c r="CA102" s="8"/>
      <c r="CB102" s="8"/>
      <c r="CC102" s="8"/>
      <c r="CD102" s="8"/>
      <c r="CE102" s="8"/>
      <c r="CF102" s="8"/>
      <c r="CG102" s="8"/>
      <c r="CH102" s="1"/>
    </row>
    <row r="103" spans="1:86" s="51" customFormat="1" ht="24" customHeight="1" x14ac:dyDescent="0.35">
      <c r="A103" s="9"/>
      <c r="B103" s="194" t="s">
        <v>121</v>
      </c>
      <c r="C103" s="195"/>
      <c r="D103" s="195"/>
      <c r="E103" s="195"/>
      <c r="F103" s="196"/>
      <c r="G103" s="103" t="s">
        <v>103</v>
      </c>
      <c r="H103" s="104"/>
      <c r="I103" s="104"/>
      <c r="J103" s="104"/>
      <c r="K103" s="104"/>
      <c r="L103" s="104"/>
      <c r="M103" s="104"/>
      <c r="N103" s="104"/>
      <c r="O103" s="104"/>
      <c r="P103" s="104"/>
      <c r="Q103" s="104"/>
      <c r="R103" s="104"/>
      <c r="S103" s="104"/>
      <c r="T103" s="104"/>
      <c r="U103" s="104"/>
      <c r="V103" s="104"/>
      <c r="W103" s="104"/>
      <c r="X103" s="104"/>
      <c r="Y103" s="105"/>
      <c r="Z103" s="8"/>
      <c r="AA103" s="189">
        <f>SUM(AA98:AA101)</f>
        <v>0</v>
      </c>
      <c r="AB103" s="201"/>
      <c r="AC103" s="201"/>
      <c r="AD103" s="190"/>
      <c r="AE103" s="8"/>
      <c r="AF103" s="174">
        <f>MEDIAN(AF98:AF101)</f>
        <v>0</v>
      </c>
      <c r="AG103" s="175"/>
      <c r="AH103" s="176"/>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56">
        <f t="shared" ref="BI103:BN103" si="14">SUM(BI98:BI101)</f>
        <v>0</v>
      </c>
      <c r="BJ103" s="56">
        <f t="shared" si="14"/>
        <v>0</v>
      </c>
      <c r="BK103" s="56">
        <f t="shared" si="14"/>
        <v>0</v>
      </c>
      <c r="BL103" s="56">
        <f t="shared" si="14"/>
        <v>0</v>
      </c>
      <c r="BM103" s="56">
        <f t="shared" si="14"/>
        <v>0</v>
      </c>
      <c r="BN103" s="56">
        <f t="shared" si="14"/>
        <v>0</v>
      </c>
      <c r="BO103" s="171">
        <f>SUM(BI103+BJ103+BK103+BL103+BM103+BN103)</f>
        <v>0</v>
      </c>
      <c r="BP103" s="172"/>
      <c r="BQ103" s="172"/>
      <c r="BR103" s="172"/>
      <c r="BS103" s="173"/>
      <c r="BT103" s="164">
        <f>SUM(100/BO121)*BO103</f>
        <v>0</v>
      </c>
      <c r="BU103" s="165"/>
      <c r="BV103" s="166"/>
      <c r="BW103" s="8"/>
      <c r="BX103" s="174">
        <f>SUM(BX98:BX101)</f>
        <v>0</v>
      </c>
      <c r="BY103" s="176"/>
      <c r="BZ103" s="174">
        <f>SUM(BZ98:BZ101)</f>
        <v>0</v>
      </c>
      <c r="CA103" s="176"/>
      <c r="CB103" s="174">
        <f>SUM(CB98:CB101)</f>
        <v>0</v>
      </c>
      <c r="CC103" s="176"/>
      <c r="CD103" s="174">
        <f>SUM(CD98:CD101)</f>
        <v>0</v>
      </c>
      <c r="CE103" s="176"/>
      <c r="CF103" s="174">
        <f>SUM(CF98:CF101)</f>
        <v>0</v>
      </c>
      <c r="CG103" s="176"/>
      <c r="CH103" s="9"/>
    </row>
    <row r="104" spans="1:86" ht="4.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8"/>
      <c r="BY104" s="8"/>
      <c r="BZ104" s="8"/>
      <c r="CA104" s="8"/>
      <c r="CB104" s="8"/>
      <c r="CC104" s="8"/>
      <c r="CD104" s="8"/>
      <c r="CE104" s="8"/>
      <c r="CF104" s="8"/>
      <c r="CG104" s="8"/>
      <c r="CH104" s="1"/>
    </row>
    <row r="105" spans="1:86" ht="4.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8"/>
      <c r="BY105" s="8"/>
      <c r="BZ105" s="8"/>
      <c r="CA105" s="8"/>
      <c r="CB105" s="8"/>
      <c r="CC105" s="8"/>
      <c r="CD105" s="8"/>
      <c r="CE105" s="8"/>
      <c r="CF105" s="8"/>
      <c r="CG105" s="8"/>
      <c r="CH105" s="1"/>
    </row>
    <row r="106" spans="1:86" s="51" customFormat="1" ht="24" customHeight="1" x14ac:dyDescent="0.35">
      <c r="A106" s="9"/>
      <c r="B106" s="194" t="s">
        <v>126</v>
      </c>
      <c r="C106" s="195"/>
      <c r="D106" s="195"/>
      <c r="E106" s="195"/>
      <c r="F106" s="196"/>
      <c r="G106" s="296" t="s">
        <v>143</v>
      </c>
      <c r="H106" s="297"/>
      <c r="I106" s="297"/>
      <c r="J106" s="297"/>
      <c r="K106" s="297"/>
      <c r="L106" s="297"/>
      <c r="M106" s="297"/>
      <c r="N106" s="297"/>
      <c r="O106" s="297"/>
      <c r="P106" s="297"/>
      <c r="Q106" s="297"/>
      <c r="R106" s="297"/>
      <c r="S106" s="297"/>
      <c r="T106" s="297"/>
      <c r="U106" s="297"/>
      <c r="V106" s="297"/>
      <c r="W106" s="297"/>
      <c r="X106" s="297"/>
      <c r="Y106" s="298"/>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30"/>
      <c r="BJ106" s="30"/>
      <c r="BK106" s="30"/>
      <c r="BL106" s="30"/>
      <c r="BM106" s="30"/>
      <c r="BN106" s="30"/>
      <c r="BO106" s="28"/>
      <c r="BP106" s="28"/>
      <c r="BQ106" s="28"/>
      <c r="BR106" s="28"/>
      <c r="BS106" s="28"/>
      <c r="BT106" s="28"/>
      <c r="BU106" s="28"/>
      <c r="BV106" s="28"/>
      <c r="BW106" s="9"/>
      <c r="BX106" s="191"/>
      <c r="BY106" s="191"/>
      <c r="BZ106" s="191"/>
      <c r="CA106" s="191"/>
      <c r="CB106" s="191"/>
      <c r="CC106" s="191"/>
      <c r="CD106" s="191"/>
      <c r="CE106" s="191"/>
      <c r="CF106" s="191"/>
      <c r="CG106" s="191"/>
      <c r="CH106" s="9"/>
    </row>
    <row r="107" spans="1:86" s="51" customFormat="1" ht="24" customHeight="1" x14ac:dyDescent="0.35">
      <c r="A107" s="9"/>
      <c r="B107" s="109" t="s">
        <v>127</v>
      </c>
      <c r="C107" s="110"/>
      <c r="D107" s="110"/>
      <c r="E107" s="110"/>
      <c r="F107" s="111"/>
      <c r="G107" s="234" t="s">
        <v>212</v>
      </c>
      <c r="H107" s="235"/>
      <c r="I107" s="235"/>
      <c r="J107" s="235"/>
      <c r="K107" s="235"/>
      <c r="L107" s="235"/>
      <c r="M107" s="235"/>
      <c r="N107" s="235"/>
      <c r="O107" s="235"/>
      <c r="P107" s="235"/>
      <c r="Q107" s="235"/>
      <c r="R107" s="235"/>
      <c r="S107" s="235"/>
      <c r="T107" s="235"/>
      <c r="U107" s="235"/>
      <c r="V107" s="235"/>
      <c r="W107" s="235"/>
      <c r="X107" s="235"/>
      <c r="Y107" s="236"/>
      <c r="Z107" s="9"/>
      <c r="AA107" s="106"/>
      <c r="AB107" s="107"/>
      <c r="AC107" s="107"/>
      <c r="AD107" s="108"/>
      <c r="AE107" s="9"/>
      <c r="AF107" s="118">
        <v>0</v>
      </c>
      <c r="AG107" s="119"/>
      <c r="AH107" s="120"/>
      <c r="AI107" s="9"/>
      <c r="AJ107" s="295"/>
      <c r="AK107" s="295"/>
      <c r="AL107" s="295"/>
      <c r="AM107" s="295"/>
      <c r="AN107" s="295"/>
      <c r="AO107" s="295"/>
      <c r="AP107" s="295"/>
      <c r="AQ107" s="295"/>
      <c r="AR107" s="295"/>
      <c r="AS107" s="295"/>
      <c r="AT107" s="295"/>
      <c r="AU107" s="295"/>
      <c r="AV107" s="295"/>
      <c r="AW107" s="295"/>
      <c r="AX107" s="295"/>
      <c r="AZ107" s="61"/>
      <c r="BA107" s="61"/>
      <c r="BB107" s="61"/>
      <c r="BC107" s="61"/>
      <c r="BD107" s="61"/>
      <c r="BE107" s="61"/>
      <c r="BF107" s="61"/>
      <c r="BG107" s="61"/>
      <c r="BH107" s="9"/>
      <c r="BI107" s="53"/>
      <c r="BJ107" s="53"/>
      <c r="BK107" s="53"/>
      <c r="BL107" s="53"/>
      <c r="BM107" s="53"/>
      <c r="BN107" s="53"/>
      <c r="BO107" s="171">
        <f>SUM(BI107+BJ107+BK107+BL107+BM107+BN107)</f>
        <v>0</v>
      </c>
      <c r="BP107" s="172"/>
      <c r="BQ107" s="172"/>
      <c r="BR107" s="172"/>
      <c r="BS107" s="173"/>
      <c r="BT107" s="164">
        <f>SUM(100/BO121)*BO107</f>
        <v>0</v>
      </c>
      <c r="BU107" s="165"/>
      <c r="BV107" s="166"/>
      <c r="BW107" s="9"/>
      <c r="BX107" s="106"/>
      <c r="BY107" s="108"/>
      <c r="BZ107" s="106"/>
      <c r="CA107" s="108"/>
      <c r="CB107" s="106"/>
      <c r="CC107" s="108"/>
      <c r="CD107" s="106"/>
      <c r="CE107" s="108"/>
      <c r="CF107" s="189">
        <f>SUM(BX107+BZ107+CB107+CD107)</f>
        <v>0</v>
      </c>
      <c r="CG107" s="190"/>
      <c r="CH107" s="9"/>
    </row>
    <row r="108" spans="1:86" s="51" customFormat="1" ht="24" customHeight="1" x14ac:dyDescent="0.35">
      <c r="A108" s="9"/>
      <c r="B108" s="109" t="s">
        <v>128</v>
      </c>
      <c r="C108" s="110"/>
      <c r="D108" s="110"/>
      <c r="E108" s="110"/>
      <c r="F108" s="111"/>
      <c r="G108" s="234" t="s">
        <v>203</v>
      </c>
      <c r="H108" s="235"/>
      <c r="I108" s="235"/>
      <c r="J108" s="235"/>
      <c r="K108" s="235"/>
      <c r="L108" s="235"/>
      <c r="M108" s="235"/>
      <c r="N108" s="235"/>
      <c r="O108" s="235"/>
      <c r="P108" s="235"/>
      <c r="Q108" s="235"/>
      <c r="R108" s="235"/>
      <c r="S108" s="235"/>
      <c r="T108" s="235"/>
      <c r="U108" s="235"/>
      <c r="V108" s="235"/>
      <c r="W108" s="235"/>
      <c r="X108" s="235"/>
      <c r="Y108" s="236"/>
      <c r="Z108" s="9"/>
      <c r="AA108" s="106"/>
      <c r="AB108" s="107"/>
      <c r="AC108" s="107"/>
      <c r="AD108" s="108"/>
      <c r="AE108" s="9"/>
      <c r="AF108" s="118"/>
      <c r="AG108" s="119"/>
      <c r="AH108" s="120"/>
      <c r="AI108" s="9"/>
      <c r="AJ108" s="295"/>
      <c r="AK108" s="295"/>
      <c r="AL108" s="295"/>
      <c r="AM108" s="295"/>
      <c r="AN108" s="295"/>
      <c r="AO108" s="295"/>
      <c r="AP108" s="295"/>
      <c r="AQ108" s="295"/>
      <c r="AR108" s="295"/>
      <c r="AS108" s="295"/>
      <c r="AT108" s="295"/>
      <c r="AU108" s="295"/>
      <c r="AV108" s="295"/>
      <c r="AW108" s="295"/>
      <c r="AX108" s="295"/>
      <c r="AZ108" s="61"/>
      <c r="BA108" s="61"/>
      <c r="BB108" s="61"/>
      <c r="BC108" s="61"/>
      <c r="BD108" s="61"/>
      <c r="BE108" s="61"/>
      <c r="BF108" s="61"/>
      <c r="BG108" s="61"/>
      <c r="BH108" s="9"/>
      <c r="BI108" s="53"/>
      <c r="BJ108" s="53"/>
      <c r="BK108" s="53"/>
      <c r="BL108" s="53"/>
      <c r="BM108" s="53"/>
      <c r="BN108" s="53"/>
      <c r="BO108" s="171">
        <f>SUM(BI108+BJ108+BK108+BL108+BM108+BN108)</f>
        <v>0</v>
      </c>
      <c r="BP108" s="172"/>
      <c r="BQ108" s="172"/>
      <c r="BR108" s="172"/>
      <c r="BS108" s="173"/>
      <c r="BT108" s="164">
        <f>SUM(100/BO121)*BO108</f>
        <v>0</v>
      </c>
      <c r="BU108" s="165"/>
      <c r="BV108" s="166"/>
      <c r="BW108" s="9"/>
      <c r="BX108" s="106"/>
      <c r="BY108" s="108"/>
      <c r="BZ108" s="106"/>
      <c r="CA108" s="108"/>
      <c r="CB108" s="106"/>
      <c r="CC108" s="108"/>
      <c r="CD108" s="106"/>
      <c r="CE108" s="108"/>
      <c r="CF108" s="189">
        <f>SUM(BX108+BZ108+CB108+CD108)</f>
        <v>0</v>
      </c>
      <c r="CG108" s="190"/>
      <c r="CH108" s="9"/>
    </row>
    <row r="109" spans="1:86" s="51" customFormat="1" ht="24" customHeight="1" x14ac:dyDescent="0.35">
      <c r="A109" s="9"/>
      <c r="B109" s="109" t="s">
        <v>129</v>
      </c>
      <c r="C109" s="110"/>
      <c r="D109" s="110"/>
      <c r="E109" s="110"/>
      <c r="F109" s="111"/>
      <c r="G109" s="234" t="s">
        <v>204</v>
      </c>
      <c r="H109" s="235"/>
      <c r="I109" s="235"/>
      <c r="J109" s="235"/>
      <c r="K109" s="235"/>
      <c r="L109" s="235"/>
      <c r="M109" s="235"/>
      <c r="N109" s="235"/>
      <c r="O109" s="235"/>
      <c r="P109" s="235"/>
      <c r="Q109" s="235"/>
      <c r="R109" s="235"/>
      <c r="S109" s="235"/>
      <c r="T109" s="235"/>
      <c r="U109" s="235"/>
      <c r="V109" s="235"/>
      <c r="W109" s="235"/>
      <c r="X109" s="235"/>
      <c r="Y109" s="236"/>
      <c r="Z109" s="9"/>
      <c r="AA109" s="106"/>
      <c r="AB109" s="107"/>
      <c r="AC109" s="107"/>
      <c r="AD109" s="108"/>
      <c r="AE109" s="9"/>
      <c r="AF109" s="118"/>
      <c r="AG109" s="119"/>
      <c r="AH109" s="120"/>
      <c r="AI109" s="9"/>
      <c r="AJ109" s="295"/>
      <c r="AK109" s="295"/>
      <c r="AL109" s="295"/>
      <c r="AM109" s="295"/>
      <c r="AN109" s="295"/>
      <c r="AO109" s="295"/>
      <c r="AP109" s="295"/>
      <c r="AQ109" s="295"/>
      <c r="AR109" s="295"/>
      <c r="AS109" s="295"/>
      <c r="AT109" s="295"/>
      <c r="AU109" s="295"/>
      <c r="AV109" s="295"/>
      <c r="AW109" s="295"/>
      <c r="AX109" s="295"/>
      <c r="AZ109" s="61"/>
      <c r="BA109" s="61"/>
      <c r="BB109" s="61"/>
      <c r="BC109" s="61"/>
      <c r="BD109" s="61"/>
      <c r="BE109" s="61"/>
      <c r="BF109" s="61"/>
      <c r="BG109" s="61"/>
      <c r="BH109" s="9"/>
      <c r="BI109" s="53"/>
      <c r="BJ109" s="53"/>
      <c r="BK109" s="53"/>
      <c r="BL109" s="53"/>
      <c r="BM109" s="53"/>
      <c r="BN109" s="53"/>
      <c r="BO109" s="171">
        <f>SUM(BI109+BJ109+BK109+BL109+BM109+BN109)</f>
        <v>0</v>
      </c>
      <c r="BP109" s="172"/>
      <c r="BQ109" s="172"/>
      <c r="BR109" s="172"/>
      <c r="BS109" s="173"/>
      <c r="BT109" s="164">
        <f>SUM(100/BO121)*BO109</f>
        <v>0</v>
      </c>
      <c r="BU109" s="165"/>
      <c r="BV109" s="166"/>
      <c r="BW109" s="9"/>
      <c r="BX109" s="106"/>
      <c r="BY109" s="108"/>
      <c r="BZ109" s="106"/>
      <c r="CA109" s="108"/>
      <c r="CB109" s="106"/>
      <c r="CC109" s="108"/>
      <c r="CD109" s="106"/>
      <c r="CE109" s="108"/>
      <c r="CF109" s="189">
        <f>SUM(BX109+BZ109+CB109+CD109)</f>
        <v>0</v>
      </c>
      <c r="CG109" s="190"/>
      <c r="CH109" s="9"/>
    </row>
    <row r="110" spans="1:86" s="51" customFormat="1" ht="24" customHeight="1" x14ac:dyDescent="0.35">
      <c r="A110" s="9"/>
      <c r="B110" s="109" t="s">
        <v>130</v>
      </c>
      <c r="C110" s="110"/>
      <c r="D110" s="110"/>
      <c r="E110" s="110"/>
      <c r="F110" s="111"/>
      <c r="G110" s="234" t="s">
        <v>205</v>
      </c>
      <c r="H110" s="235"/>
      <c r="I110" s="235"/>
      <c r="J110" s="235"/>
      <c r="K110" s="235"/>
      <c r="L110" s="235"/>
      <c r="M110" s="235"/>
      <c r="N110" s="235"/>
      <c r="O110" s="235"/>
      <c r="P110" s="235"/>
      <c r="Q110" s="235"/>
      <c r="R110" s="235"/>
      <c r="S110" s="235"/>
      <c r="T110" s="235"/>
      <c r="U110" s="235"/>
      <c r="V110" s="235"/>
      <c r="W110" s="235"/>
      <c r="X110" s="235"/>
      <c r="Y110" s="236"/>
      <c r="Z110" s="9"/>
      <c r="AA110" s="106"/>
      <c r="AB110" s="107"/>
      <c r="AC110" s="107"/>
      <c r="AD110" s="108"/>
      <c r="AE110" s="9"/>
      <c r="AF110" s="118"/>
      <c r="AG110" s="119"/>
      <c r="AH110" s="120"/>
      <c r="AI110" s="9"/>
      <c r="AJ110" s="295"/>
      <c r="AK110" s="295"/>
      <c r="AL110" s="295"/>
      <c r="AM110" s="295"/>
      <c r="AN110" s="295"/>
      <c r="AO110" s="295"/>
      <c r="AP110" s="295"/>
      <c r="AQ110" s="295"/>
      <c r="AR110" s="295"/>
      <c r="AS110" s="295"/>
      <c r="AT110" s="295"/>
      <c r="AU110" s="295"/>
      <c r="AV110" s="295"/>
      <c r="AW110" s="295"/>
      <c r="AX110" s="295"/>
      <c r="AZ110" s="61"/>
      <c r="BA110" s="61"/>
      <c r="BB110" s="61"/>
      <c r="BC110" s="61"/>
      <c r="BD110" s="61"/>
      <c r="BE110" s="61"/>
      <c r="BF110" s="61"/>
      <c r="BG110" s="61"/>
      <c r="BH110" s="9"/>
      <c r="BI110" s="53">
        <v>1</v>
      </c>
      <c r="BJ110" s="53"/>
      <c r="BK110" s="53"/>
      <c r="BL110" s="53"/>
      <c r="BM110" s="53"/>
      <c r="BN110" s="53"/>
      <c r="BO110" s="171">
        <f>SUM(BI110+BJ110+BK110+BL110+BM110+BN110)</f>
        <v>1</v>
      </c>
      <c r="BP110" s="172"/>
      <c r="BQ110" s="172"/>
      <c r="BR110" s="172"/>
      <c r="BS110" s="173"/>
      <c r="BT110" s="164">
        <f>SUM(100/BO121)*BO110</f>
        <v>71.428571428571416</v>
      </c>
      <c r="BU110" s="165"/>
      <c r="BV110" s="166"/>
      <c r="BW110" s="9"/>
      <c r="BX110" s="106"/>
      <c r="BY110" s="108"/>
      <c r="BZ110" s="106"/>
      <c r="CA110" s="108"/>
      <c r="CB110" s="106"/>
      <c r="CC110" s="108"/>
      <c r="CD110" s="106"/>
      <c r="CE110" s="108"/>
      <c r="CF110" s="189">
        <f>SUM(BX110+BZ110+CB110+CD110)</f>
        <v>0</v>
      </c>
      <c r="CG110" s="190"/>
      <c r="CH110" s="9"/>
    </row>
    <row r="111" spans="1:86" ht="4.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30"/>
      <c r="BJ111" s="30"/>
      <c r="BK111" s="30"/>
      <c r="BL111" s="30"/>
      <c r="BM111" s="30"/>
      <c r="BN111" s="30"/>
      <c r="BO111" s="28"/>
      <c r="BP111" s="28"/>
      <c r="BQ111" s="28"/>
      <c r="BR111" s="28"/>
      <c r="BS111" s="28"/>
      <c r="BT111" s="42"/>
      <c r="BU111" s="44"/>
      <c r="BV111" s="44"/>
      <c r="BW111" s="9"/>
      <c r="BX111" s="8"/>
      <c r="BY111" s="8"/>
      <c r="BZ111" s="8"/>
      <c r="CA111" s="8"/>
      <c r="CB111" s="8"/>
      <c r="CC111" s="8"/>
      <c r="CD111" s="8"/>
      <c r="CE111" s="8"/>
      <c r="CF111" s="8"/>
      <c r="CG111" s="8"/>
      <c r="CH111" s="1"/>
    </row>
    <row r="112" spans="1:86" s="51" customFormat="1" ht="24" customHeight="1" x14ac:dyDescent="0.35">
      <c r="A112" s="9"/>
      <c r="B112" s="194" t="s">
        <v>126</v>
      </c>
      <c r="C112" s="195"/>
      <c r="D112" s="195"/>
      <c r="E112" s="195"/>
      <c r="F112" s="196"/>
      <c r="G112" s="103" t="s">
        <v>103</v>
      </c>
      <c r="H112" s="104"/>
      <c r="I112" s="104"/>
      <c r="J112" s="104"/>
      <c r="K112" s="104"/>
      <c r="L112" s="104"/>
      <c r="M112" s="104"/>
      <c r="N112" s="104"/>
      <c r="O112" s="104"/>
      <c r="P112" s="104"/>
      <c r="Q112" s="104"/>
      <c r="R112" s="104"/>
      <c r="S112" s="104"/>
      <c r="T112" s="104"/>
      <c r="U112" s="104"/>
      <c r="V112" s="104"/>
      <c r="W112" s="104"/>
      <c r="X112" s="104"/>
      <c r="Y112" s="105"/>
      <c r="Z112" s="8"/>
      <c r="AA112" s="189">
        <f>SUM(AA107:AA110)</f>
        <v>0</v>
      </c>
      <c r="AB112" s="201"/>
      <c r="AC112" s="201"/>
      <c r="AD112" s="190"/>
      <c r="AE112" s="8"/>
      <c r="AF112" s="174">
        <f>MEDIAN(AF107:AF110)</f>
        <v>0</v>
      </c>
      <c r="AG112" s="175"/>
      <c r="AH112" s="176"/>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56">
        <f t="shared" ref="BI112:BM112" si="15">SUM(BI107:BI110)</f>
        <v>1</v>
      </c>
      <c r="BJ112" s="56">
        <f t="shared" si="15"/>
        <v>0</v>
      </c>
      <c r="BK112" s="56">
        <f t="shared" si="15"/>
        <v>0</v>
      </c>
      <c r="BL112" s="56">
        <f t="shared" si="15"/>
        <v>0</v>
      </c>
      <c r="BM112" s="56">
        <f t="shared" si="15"/>
        <v>0</v>
      </c>
      <c r="BN112" s="56">
        <f>SUM(BN107:BN110)</f>
        <v>0</v>
      </c>
      <c r="BO112" s="171">
        <f>SUM(BI112+BJ112+BK112+BL112+BM112+BN112)</f>
        <v>1</v>
      </c>
      <c r="BP112" s="172"/>
      <c r="BQ112" s="172"/>
      <c r="BR112" s="172"/>
      <c r="BS112" s="173"/>
      <c r="BT112" s="164">
        <f>SUM(100/BO121)*BO112</f>
        <v>71.428571428571416</v>
      </c>
      <c r="BU112" s="165"/>
      <c r="BV112" s="166"/>
      <c r="BW112" s="8"/>
      <c r="BX112" s="174">
        <f>SUM(BX107:BX110)</f>
        <v>0</v>
      </c>
      <c r="BY112" s="176"/>
      <c r="BZ112" s="174">
        <f>SUM(BZ107:BZ110)</f>
        <v>0</v>
      </c>
      <c r="CA112" s="176"/>
      <c r="CB112" s="174">
        <f>SUM(CB107:CB110)</f>
        <v>0</v>
      </c>
      <c r="CC112" s="176"/>
      <c r="CD112" s="174">
        <f>SUM(CD107:CD110)</f>
        <v>0</v>
      </c>
      <c r="CE112" s="176"/>
      <c r="CF112" s="174">
        <f>SUM(CF107:CF110)</f>
        <v>0</v>
      </c>
      <c r="CG112" s="176"/>
      <c r="CH112" s="9"/>
    </row>
    <row r="113" spans="1:86" ht="4.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26"/>
      <c r="BJ113" s="26"/>
      <c r="BK113" s="26"/>
      <c r="BL113" s="26"/>
      <c r="BM113" s="26"/>
      <c r="BN113" s="26"/>
      <c r="BO113" s="28"/>
      <c r="BP113" s="28"/>
      <c r="BQ113" s="28"/>
      <c r="BR113" s="28"/>
      <c r="BS113" s="28"/>
      <c r="BT113" s="42"/>
      <c r="BU113" s="42"/>
      <c r="BV113" s="42"/>
      <c r="BW113" s="9"/>
      <c r="BX113" s="8"/>
      <c r="BY113" s="8"/>
      <c r="BZ113" s="8"/>
      <c r="CA113" s="8"/>
      <c r="CB113" s="8"/>
      <c r="CC113" s="8"/>
      <c r="CD113" s="8"/>
      <c r="CE113" s="8"/>
      <c r="CF113" s="8"/>
      <c r="CG113" s="8"/>
      <c r="CH113" s="1"/>
    </row>
    <row r="114" spans="1:86" ht="4.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26"/>
      <c r="BJ114" s="26"/>
      <c r="BK114" s="26"/>
      <c r="BL114" s="26"/>
      <c r="BM114" s="26"/>
      <c r="BN114" s="26"/>
      <c r="BO114" s="28"/>
      <c r="BP114" s="28"/>
      <c r="BQ114" s="28"/>
      <c r="BR114" s="28"/>
      <c r="BS114" s="28"/>
      <c r="BT114" s="42"/>
      <c r="BU114" s="42"/>
      <c r="BV114" s="42"/>
      <c r="BW114" s="9"/>
      <c r="BX114" s="8"/>
      <c r="BY114" s="8"/>
      <c r="BZ114" s="8"/>
      <c r="CA114" s="8"/>
      <c r="CB114" s="8"/>
      <c r="CC114" s="8"/>
      <c r="CD114" s="8"/>
      <c r="CE114" s="8"/>
      <c r="CF114" s="8"/>
      <c r="CG114" s="8"/>
      <c r="CH114" s="1"/>
    </row>
    <row r="115" spans="1:86" s="51" customFormat="1" ht="24" customHeight="1" x14ac:dyDescent="0.35">
      <c r="A115" s="9"/>
      <c r="B115" s="103" t="s">
        <v>137</v>
      </c>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5"/>
      <c r="Z115" s="8"/>
      <c r="AA115" s="189">
        <f>SUM(AA34+AA56+AA64+AA79+AA89+AA103+AA112)</f>
        <v>0</v>
      </c>
      <c r="AB115" s="201"/>
      <c r="AC115" s="201"/>
      <c r="AD115" s="190"/>
      <c r="AE115" s="8"/>
      <c r="AF115" s="174">
        <f>MEDIAN(AF34,AF56,AF64,AF79,AF89,AF103,AF112)</f>
        <v>0</v>
      </c>
      <c r="AG115" s="175"/>
      <c r="AH115" s="176"/>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56">
        <f>SUM(BI34+BI56+BI64+BI79+BI89+BI103+BI112)</f>
        <v>1</v>
      </c>
      <c r="BJ115" s="56">
        <f>SUM(BJ34+BJ56+BJ64+BJ79+BJ89+BJ103+BJ112)</f>
        <v>0</v>
      </c>
      <c r="BK115" s="56">
        <f>SUM(BK34+BK56+BK64+BK79+BK89+BK103+BK112)</f>
        <v>0</v>
      </c>
      <c r="BL115" s="56">
        <f>SUM(BL34+BL56+BL64+BL79+BL89+BL103+BL112)</f>
        <v>0</v>
      </c>
      <c r="BM115" s="56">
        <f>SUM(BM34+BM56+BM64+BM79+BM89+BM103+BM112)</f>
        <v>0</v>
      </c>
      <c r="BN115" s="56">
        <f t="shared" ref="BN115" si="16">SUM(BN34+BN56+BN64+BN79+BN89+BN103+BN112)</f>
        <v>0</v>
      </c>
      <c r="BO115" s="171">
        <f>SUM(BI115+BJ115+BK115+BL115+BM115+BN115)</f>
        <v>1</v>
      </c>
      <c r="BP115" s="172"/>
      <c r="BQ115" s="172"/>
      <c r="BR115" s="172"/>
      <c r="BS115" s="173"/>
      <c r="BT115" s="164">
        <f>SUM(100/BO121)*BO115</f>
        <v>71.428571428571416</v>
      </c>
      <c r="BU115" s="165"/>
      <c r="BV115" s="166"/>
      <c r="BW115" s="8"/>
      <c r="BX115" s="115">
        <f>SUM(BX34+BX56+BX64+BX79+BX89+BX103+BX112)</f>
        <v>0</v>
      </c>
      <c r="BY115" s="117"/>
      <c r="BZ115" s="115">
        <f>SUM(BZ34+BZ56+BZ64+BZ79+BZ89+BZ103+BZ112)</f>
        <v>0</v>
      </c>
      <c r="CA115" s="117"/>
      <c r="CB115" s="115">
        <f>SUM(CB34+CB56+CB64+CB79+CB89+CB103+CB112)</f>
        <v>0</v>
      </c>
      <c r="CC115" s="117"/>
      <c r="CD115" s="115">
        <f>SUM(CD34+CD56+CD64+CD79+CD89+CD103+CD112)</f>
        <v>0</v>
      </c>
      <c r="CE115" s="117"/>
      <c r="CF115" s="115">
        <f>SUM(CF34+CF56+CF64+CF79+CF89+CF103+CF112)</f>
        <v>0</v>
      </c>
      <c r="CG115" s="117"/>
      <c r="CH115" s="9"/>
    </row>
    <row r="116" spans="1:86" ht="4.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26"/>
      <c r="BJ116" s="26"/>
      <c r="BK116" s="26"/>
      <c r="BL116" s="26"/>
      <c r="BM116" s="26"/>
      <c r="BN116" s="26"/>
      <c r="BO116" s="28"/>
      <c r="BP116" s="28"/>
      <c r="BQ116" s="28"/>
      <c r="BR116" s="28"/>
      <c r="BS116" s="28"/>
      <c r="BT116" s="42"/>
      <c r="BU116" s="42"/>
      <c r="BV116" s="42"/>
      <c r="BW116" s="9"/>
      <c r="BX116" s="8"/>
      <c r="BY116" s="8"/>
      <c r="BZ116" s="8"/>
      <c r="CA116" s="8"/>
      <c r="CB116" s="8"/>
      <c r="CC116" s="8"/>
      <c r="CD116" s="8"/>
      <c r="CE116" s="8"/>
      <c r="CF116" s="8"/>
      <c r="CG116" s="8"/>
      <c r="CH116" s="1"/>
    </row>
    <row r="117" spans="1:86" s="51" customFormat="1" ht="24" customHeight="1" x14ac:dyDescent="0.35">
      <c r="A117" s="9"/>
      <c r="B117" s="103" t="s">
        <v>208</v>
      </c>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5"/>
      <c r="Z117" s="8"/>
      <c r="AA117" s="215"/>
      <c r="AB117" s="215"/>
      <c r="AC117" s="215"/>
      <c r="AD117" s="215"/>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30"/>
      <c r="BJ117" s="30"/>
      <c r="BK117" s="30"/>
      <c r="BL117" s="30"/>
      <c r="BM117" s="30"/>
      <c r="BN117" s="40"/>
      <c r="BO117" s="172">
        <f>SUM(BO115/100)*10</f>
        <v>0.1</v>
      </c>
      <c r="BP117" s="172"/>
      <c r="BQ117" s="172"/>
      <c r="BR117" s="172"/>
      <c r="BS117" s="173"/>
      <c r="BT117" s="164">
        <f>SUM(100/BO121)*BO117</f>
        <v>7.1428571428571423</v>
      </c>
      <c r="BU117" s="165"/>
      <c r="BV117" s="166"/>
      <c r="BW117" s="8"/>
      <c r="BX117" s="214"/>
      <c r="BY117" s="214"/>
      <c r="BZ117" s="214"/>
      <c r="CA117" s="214"/>
      <c r="CB117" s="214"/>
      <c r="CC117" s="214"/>
      <c r="CD117" s="214"/>
      <c r="CE117" s="214"/>
      <c r="CF117" s="214"/>
      <c r="CG117" s="214"/>
      <c r="CH117" s="9"/>
    </row>
    <row r="118" spans="1:86" ht="4.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26"/>
      <c r="BJ118" s="26"/>
      <c r="BK118" s="26"/>
      <c r="BL118" s="26"/>
      <c r="BM118" s="26"/>
      <c r="BN118" s="26"/>
      <c r="BO118" s="57"/>
      <c r="BP118" s="57"/>
      <c r="BQ118" s="57"/>
      <c r="BR118" s="57"/>
      <c r="BS118" s="57"/>
      <c r="BT118" s="58"/>
      <c r="BU118" s="58"/>
      <c r="BV118" s="58"/>
      <c r="BW118" s="9"/>
      <c r="BX118" s="8"/>
      <c r="BY118" s="8"/>
      <c r="BZ118" s="8"/>
      <c r="CA118" s="8"/>
      <c r="CB118" s="8"/>
      <c r="CC118" s="8"/>
      <c r="CD118" s="8"/>
      <c r="CE118" s="8"/>
      <c r="CF118" s="8"/>
      <c r="CG118" s="8"/>
      <c r="CH118" s="1"/>
    </row>
    <row r="119" spans="1:86" s="51" customFormat="1" ht="24" customHeight="1" x14ac:dyDescent="0.35">
      <c r="A119" s="9"/>
      <c r="B119" s="103" t="s">
        <v>209</v>
      </c>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5"/>
      <c r="Z119" s="8"/>
      <c r="AA119" s="215"/>
      <c r="AB119" s="215"/>
      <c r="AC119" s="215"/>
      <c r="AD119" s="215"/>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30"/>
      <c r="BJ119" s="30"/>
      <c r="BK119" s="30"/>
      <c r="BL119" s="30"/>
      <c r="BM119" s="30"/>
      <c r="BN119" s="40"/>
      <c r="BO119" s="172">
        <f>SUM(BO115/100)*30</f>
        <v>0.3</v>
      </c>
      <c r="BP119" s="172"/>
      <c r="BQ119" s="172"/>
      <c r="BR119" s="172"/>
      <c r="BS119" s="173"/>
      <c r="BT119" s="164">
        <f>SUM(100/BO121)*BO119</f>
        <v>21.428571428571423</v>
      </c>
      <c r="BU119" s="165"/>
      <c r="BV119" s="166"/>
      <c r="BW119" s="8"/>
      <c r="BX119" s="214"/>
      <c r="BY119" s="214"/>
      <c r="BZ119" s="214"/>
      <c r="CA119" s="214"/>
      <c r="CB119" s="214"/>
      <c r="CC119" s="214"/>
      <c r="CD119" s="214"/>
      <c r="CE119" s="214"/>
      <c r="CF119" s="214"/>
      <c r="CG119" s="214"/>
      <c r="CH119" s="9"/>
    </row>
    <row r="120" spans="1:86" ht="4.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26"/>
      <c r="BJ120" s="26"/>
      <c r="BK120" s="26"/>
      <c r="BL120" s="26"/>
      <c r="BM120" s="26"/>
      <c r="BN120" s="26"/>
      <c r="BO120" s="57"/>
      <c r="BP120" s="57"/>
      <c r="BQ120" s="57"/>
      <c r="BR120" s="57"/>
      <c r="BS120" s="57"/>
      <c r="BT120" s="58"/>
      <c r="BU120" s="58"/>
      <c r="BV120" s="58"/>
      <c r="BW120" s="9"/>
      <c r="BX120" s="8"/>
      <c r="BY120" s="8"/>
      <c r="BZ120" s="8"/>
      <c r="CA120" s="8"/>
      <c r="CB120" s="8"/>
      <c r="CC120" s="8"/>
      <c r="CD120" s="8"/>
      <c r="CE120" s="8"/>
      <c r="CF120" s="8"/>
      <c r="CG120" s="8"/>
      <c r="CH120" s="1"/>
    </row>
    <row r="121" spans="1:86" s="51" customFormat="1" ht="24" customHeight="1" x14ac:dyDescent="0.35">
      <c r="A121" s="9"/>
      <c r="B121" s="103" t="s">
        <v>145</v>
      </c>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5"/>
      <c r="Z121" s="8"/>
      <c r="AA121" s="215"/>
      <c r="AB121" s="215"/>
      <c r="AC121" s="215"/>
      <c r="AD121" s="215"/>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30"/>
      <c r="BJ121" s="30"/>
      <c r="BK121" s="30"/>
      <c r="BL121" s="30"/>
      <c r="BM121" s="30"/>
      <c r="BN121" s="40"/>
      <c r="BO121" s="172">
        <f>SUM(BO115+BO117+BO119)</f>
        <v>1.4000000000000001</v>
      </c>
      <c r="BP121" s="172"/>
      <c r="BQ121" s="172"/>
      <c r="BR121" s="172"/>
      <c r="BS121" s="173"/>
      <c r="BT121" s="171">
        <f>SUM(BT115+BT117+BT119)</f>
        <v>99.999999999999972</v>
      </c>
      <c r="BU121" s="172"/>
      <c r="BV121" s="173"/>
      <c r="BW121" s="8"/>
      <c r="BX121" s="214"/>
      <c r="BY121" s="214"/>
      <c r="BZ121" s="214"/>
      <c r="CA121" s="214"/>
      <c r="CB121" s="214"/>
      <c r="CC121" s="214"/>
      <c r="CD121" s="214"/>
      <c r="CE121" s="214"/>
      <c r="CF121" s="214"/>
      <c r="CG121" s="214"/>
      <c r="CH121" s="9"/>
    </row>
    <row r="122" spans="1:86" ht="9.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8"/>
      <c r="BY122" s="8"/>
      <c r="BZ122" s="8"/>
      <c r="CA122" s="8"/>
      <c r="CB122" s="8"/>
      <c r="CC122" s="8"/>
      <c r="CD122" s="8"/>
      <c r="CE122" s="8"/>
      <c r="CF122" s="8"/>
      <c r="CG122" s="8"/>
      <c r="CH122" s="1"/>
    </row>
    <row r="123" spans="1:86" s="51" customFormat="1" ht="24" customHeight="1" x14ac:dyDescent="0.35">
      <c r="A123" s="9"/>
      <c r="B123" s="103" t="s">
        <v>140</v>
      </c>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5"/>
      <c r="Z123" s="8"/>
      <c r="AA123" s="215"/>
      <c r="AB123" s="215"/>
      <c r="AC123" s="215"/>
      <c r="AD123" s="215"/>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56">
        <f>SUM(100/BO115)*BI115</f>
        <v>100</v>
      </c>
      <c r="BJ123" s="56">
        <f>SUM(100/BO115)*BJ115</f>
        <v>0</v>
      </c>
      <c r="BK123" s="56">
        <f>SUM(100/BO115)*BK115</f>
        <v>0</v>
      </c>
      <c r="BL123" s="56">
        <f>SUM(100/BO115)*BL115</f>
        <v>0</v>
      </c>
      <c r="BM123" s="56">
        <f>SUM(100/BO115)*BM115</f>
        <v>0</v>
      </c>
      <c r="BN123" s="56">
        <f>SUM(100/BO115)*BN115</f>
        <v>0</v>
      </c>
      <c r="BO123" s="171"/>
      <c r="BP123" s="172"/>
      <c r="BQ123" s="172"/>
      <c r="BR123" s="172"/>
      <c r="BS123" s="173"/>
      <c r="BT123" s="171">
        <f>SUM(BI123+BJ123+BK123+BL123+BM123+BN123)</f>
        <v>100</v>
      </c>
      <c r="BU123" s="172"/>
      <c r="BV123" s="173"/>
      <c r="BW123" s="8"/>
      <c r="BX123" s="214"/>
      <c r="BY123" s="214"/>
      <c r="BZ123" s="214"/>
      <c r="CA123" s="214"/>
      <c r="CB123" s="214"/>
      <c r="CC123" s="214"/>
      <c r="CD123" s="214"/>
      <c r="CE123" s="214"/>
      <c r="CF123" s="214"/>
      <c r="CG123" s="214"/>
      <c r="CH123" s="9"/>
    </row>
    <row r="124" spans="1:86" ht="9.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8"/>
      <c r="BY124" s="8"/>
      <c r="BZ124" s="8"/>
      <c r="CA124" s="8"/>
      <c r="CB124" s="8"/>
      <c r="CC124" s="8"/>
      <c r="CD124" s="8"/>
      <c r="CE124" s="8"/>
      <c r="CF124" s="8"/>
      <c r="CG124" s="8"/>
      <c r="CH124" s="1"/>
    </row>
    <row r="125" spans="1:86" ht="9.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8"/>
      <c r="BY125" s="8"/>
      <c r="BZ125" s="8"/>
      <c r="CA125" s="8"/>
      <c r="CB125" s="8"/>
      <c r="CC125" s="8"/>
      <c r="CD125" s="8"/>
      <c r="CE125" s="8"/>
      <c r="CF125" s="8"/>
      <c r="CG125" s="8"/>
      <c r="CH125" s="1"/>
    </row>
    <row r="126" spans="1:86" ht="24.5" customHeight="1" x14ac:dyDescent="0.35">
      <c r="A126" s="1"/>
      <c r="B126" s="115" t="s">
        <v>62</v>
      </c>
      <c r="C126" s="116"/>
      <c r="D126" s="116"/>
      <c r="E126" s="116"/>
      <c r="F126" s="117"/>
      <c r="G126" s="1"/>
      <c r="H126" s="115" t="s">
        <v>63</v>
      </c>
      <c r="I126" s="116"/>
      <c r="J126" s="116"/>
      <c r="K126" s="116"/>
      <c r="L126" s="116"/>
      <c r="M126" s="116"/>
      <c r="N126" s="116"/>
      <c r="O126" s="116"/>
      <c r="P126" s="117"/>
      <c r="Q126" s="253" t="s">
        <v>157</v>
      </c>
      <c r="R126" s="254"/>
      <c r="S126" s="254"/>
      <c r="T126" s="254"/>
      <c r="U126" s="254"/>
      <c r="V126" s="254"/>
      <c r="W126" s="302"/>
      <c r="X126" s="29"/>
      <c r="Y126" s="21" t="s">
        <v>131</v>
      </c>
      <c r="Z126" s="46"/>
      <c r="AA126" s="46"/>
      <c r="AB126" s="46"/>
      <c r="AC126" s="46"/>
      <c r="AD126" s="46"/>
      <c r="AE126" s="46"/>
      <c r="AF126" s="47"/>
      <c r="AG126" s="256" t="s">
        <v>158</v>
      </c>
      <c r="AH126" s="256"/>
      <c r="AI126" s="256"/>
      <c r="AJ126" s="256"/>
      <c r="AK126" s="256"/>
      <c r="AL126" s="257"/>
      <c r="AM126" s="29"/>
      <c r="AN126" s="115" t="s">
        <v>136</v>
      </c>
      <c r="AO126" s="116"/>
      <c r="AP126" s="116"/>
      <c r="AQ126" s="116"/>
      <c r="AR126" s="116"/>
      <c r="AS126" s="116"/>
      <c r="AT126" s="116"/>
      <c r="AU126" s="117"/>
      <c r="AV126" s="250" t="s">
        <v>159</v>
      </c>
      <c r="AW126" s="251"/>
      <c r="AX126" s="251"/>
      <c r="AY126" s="251"/>
      <c r="AZ126" s="252"/>
      <c r="BA126" s="29"/>
      <c r="BB126" s="21" t="s">
        <v>180</v>
      </c>
      <c r="BC126" s="46"/>
      <c r="BD126" s="47"/>
      <c r="BE126" s="247" t="s">
        <v>57</v>
      </c>
      <c r="BF126" s="248"/>
      <c r="BG126" s="249"/>
      <c r="BH126" s="29"/>
      <c r="BI126" s="163" t="s">
        <v>146</v>
      </c>
      <c r="BJ126" s="163"/>
      <c r="BK126" s="163"/>
      <c r="BL126" s="163"/>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1"/>
    </row>
    <row r="127" spans="1:86" ht="4.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8"/>
      <c r="BY127" s="8"/>
      <c r="BZ127" s="8"/>
      <c r="CA127" s="8"/>
      <c r="CB127" s="8"/>
      <c r="CC127" s="8"/>
      <c r="CD127" s="8"/>
      <c r="CE127" s="8"/>
      <c r="CF127" s="8"/>
      <c r="CG127" s="8"/>
      <c r="CH127" s="1"/>
    </row>
    <row r="128" spans="1:86" ht="38" customHeight="1" x14ac:dyDescent="0.35">
      <c r="A128" s="1"/>
      <c r="B128" s="216" t="s">
        <v>160</v>
      </c>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7"/>
      <c r="Z128" s="217"/>
      <c r="AA128" s="217"/>
      <c r="AB128" s="217"/>
      <c r="AC128" s="217"/>
      <c r="AD128" s="217"/>
      <c r="AE128" s="217"/>
      <c r="AF128" s="217"/>
      <c r="AG128" s="217"/>
      <c r="AH128" s="217"/>
      <c r="AI128" s="217"/>
      <c r="AJ128" s="217"/>
      <c r="AK128" s="217"/>
      <c r="AL128" s="217"/>
      <c r="AM128" s="217"/>
      <c r="AN128" s="217"/>
      <c r="AO128" s="217"/>
      <c r="AP128" s="217"/>
      <c r="AQ128" s="217"/>
      <c r="AR128" s="217"/>
      <c r="AS128" s="217"/>
      <c r="AT128" s="217"/>
      <c r="AU128" s="217"/>
      <c r="AV128" s="217"/>
      <c r="AW128" s="217"/>
      <c r="AX128" s="217"/>
      <c r="AY128" s="217"/>
      <c r="AZ128" s="217"/>
      <c r="BA128" s="217"/>
      <c r="BB128" s="217"/>
      <c r="BC128" s="217"/>
      <c r="BD128" s="217"/>
      <c r="BE128" s="217"/>
      <c r="BF128" s="217"/>
      <c r="BG128" s="217"/>
      <c r="BH128" s="217"/>
      <c r="BI128" s="217"/>
      <c r="BJ128" s="217"/>
      <c r="BK128" s="217"/>
      <c r="BL128" s="217"/>
      <c r="BM128" s="217"/>
      <c r="BN128" s="217"/>
      <c r="BO128" s="217"/>
      <c r="BP128" s="217"/>
      <c r="BQ128" s="217"/>
      <c r="BR128" s="217"/>
      <c r="BS128" s="217"/>
      <c r="BT128" s="217"/>
      <c r="BU128" s="217"/>
      <c r="BV128" s="217"/>
      <c r="BW128" s="217"/>
      <c r="BX128" s="217"/>
      <c r="BY128" s="217"/>
      <c r="BZ128" s="217"/>
      <c r="CA128" s="217"/>
      <c r="CB128" s="217"/>
      <c r="CC128" s="217"/>
      <c r="CD128" s="217"/>
      <c r="CE128" s="217"/>
      <c r="CF128" s="217"/>
      <c r="CG128" s="218"/>
      <c r="CH128" s="1"/>
    </row>
    <row r="129" spans="1:86" ht="6" customHeight="1" x14ac:dyDescent="0.35">
      <c r="A129" s="1"/>
      <c r="B129" s="29"/>
      <c r="C129" s="29"/>
      <c r="D129" s="29"/>
      <c r="E129" s="1"/>
      <c r="F129" s="1"/>
      <c r="G129" s="1"/>
      <c r="H129" s="1"/>
      <c r="I129" s="1"/>
      <c r="J129" s="1"/>
      <c r="K129" s="1"/>
      <c r="L129" s="1"/>
      <c r="M129" s="1"/>
      <c r="N129" s="1"/>
      <c r="O129" s="1"/>
      <c r="P129" s="1"/>
      <c r="Q129" s="1"/>
      <c r="R129" s="1"/>
      <c r="S129" s="1"/>
      <c r="T129" s="1"/>
      <c r="U129" s="1"/>
      <c r="V129" s="1"/>
      <c r="W129" s="1"/>
      <c r="X129" s="1"/>
      <c r="Y129" s="1"/>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8"/>
      <c r="BY129" s="8"/>
      <c r="BZ129" s="8"/>
      <c r="CA129" s="8"/>
      <c r="CB129" s="8"/>
      <c r="CC129" s="8"/>
      <c r="CD129" s="8"/>
      <c r="CE129" s="8"/>
      <c r="CF129" s="8"/>
      <c r="CG129" s="8"/>
      <c r="CH129" s="1"/>
    </row>
    <row r="130" spans="1:86" ht="42" customHeight="1" x14ac:dyDescent="0.35">
      <c r="A130" s="1"/>
      <c r="B130" s="241" t="s">
        <v>132</v>
      </c>
      <c r="C130" s="242"/>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2"/>
      <c r="AP130" s="242"/>
      <c r="AQ130" s="242"/>
      <c r="AR130" s="242"/>
      <c r="AS130" s="242"/>
      <c r="AT130" s="242"/>
      <c r="AU130" s="242"/>
      <c r="AV130" s="242"/>
      <c r="AW130" s="242"/>
      <c r="AX130" s="242"/>
      <c r="AY130" s="242"/>
      <c r="AZ130" s="242"/>
      <c r="BA130" s="242"/>
      <c r="BB130" s="242"/>
      <c r="BC130" s="242"/>
      <c r="BD130" s="242"/>
      <c r="BE130" s="242"/>
      <c r="BF130" s="242"/>
      <c r="BG130" s="242"/>
      <c r="BH130" s="242"/>
      <c r="BI130" s="242"/>
      <c r="BJ130" s="242"/>
      <c r="BK130" s="242"/>
      <c r="BL130" s="242"/>
      <c r="BM130" s="242"/>
      <c r="BN130" s="242"/>
      <c r="BO130" s="242"/>
      <c r="BP130" s="242"/>
      <c r="BQ130" s="242"/>
      <c r="BR130" s="242"/>
      <c r="BS130" s="242"/>
      <c r="BT130" s="242"/>
      <c r="BU130" s="242"/>
      <c r="BV130" s="242"/>
      <c r="BW130" s="242"/>
      <c r="BX130" s="242"/>
      <c r="BY130" s="242"/>
      <c r="BZ130" s="242"/>
      <c r="CA130" s="242"/>
      <c r="CB130" s="242"/>
      <c r="CC130" s="242"/>
      <c r="CD130" s="242"/>
      <c r="CE130" s="242"/>
      <c r="CF130" s="242"/>
      <c r="CG130" s="243"/>
      <c r="CH130" s="1"/>
    </row>
    <row r="131" spans="1:86" ht="4.5" customHeight="1" x14ac:dyDescent="0.35">
      <c r="A131" s="1"/>
      <c r="B131" s="240"/>
      <c r="C131" s="240"/>
      <c r="D131" s="240"/>
      <c r="E131" s="240"/>
      <c r="F131" s="240"/>
      <c r="G131" s="240"/>
      <c r="H131" s="240"/>
      <c r="I131" s="240"/>
      <c r="J131" s="240"/>
      <c r="K131" s="240"/>
      <c r="L131" s="240"/>
      <c r="M131" s="240"/>
      <c r="N131" s="240"/>
      <c r="O131" s="240"/>
      <c r="P131" s="240"/>
      <c r="Q131" s="240"/>
      <c r="R131" s="240"/>
      <c r="S131" s="240"/>
      <c r="T131" s="240"/>
      <c r="U131" s="240"/>
      <c r="V131" s="240"/>
      <c r="W131" s="240"/>
      <c r="X131" s="240"/>
      <c r="Y131" s="240"/>
      <c r="Z131" s="240"/>
      <c r="AA131" s="240"/>
      <c r="AB131" s="240"/>
      <c r="AC131" s="240"/>
      <c r="AD131" s="240"/>
      <c r="AE131" s="240"/>
      <c r="AF131" s="240"/>
      <c r="AG131" s="240"/>
      <c r="AH131" s="240"/>
      <c r="AI131" s="240"/>
      <c r="AJ131" s="240"/>
      <c r="AK131" s="240"/>
      <c r="AL131" s="240"/>
      <c r="AM131" s="240"/>
      <c r="AN131" s="240"/>
      <c r="AO131" s="240"/>
      <c r="AP131" s="240"/>
      <c r="AQ131" s="240"/>
      <c r="AR131" s="240"/>
      <c r="AS131" s="240"/>
      <c r="AT131" s="240"/>
      <c r="AU131" s="240"/>
      <c r="AV131" s="240"/>
      <c r="AW131" s="240"/>
      <c r="AX131" s="240"/>
      <c r="AY131" s="240"/>
      <c r="AZ131" s="240"/>
      <c r="BA131" s="240"/>
      <c r="BB131" s="240"/>
      <c r="BC131" s="240"/>
      <c r="BD131" s="240"/>
      <c r="BE131" s="240"/>
      <c r="BF131" s="240"/>
      <c r="BG131" s="240"/>
      <c r="BH131" s="240"/>
      <c r="BI131" s="240"/>
      <c r="BJ131" s="240"/>
      <c r="BK131" s="240"/>
      <c r="BL131" s="240"/>
      <c r="BM131" s="240"/>
      <c r="BN131" s="240"/>
      <c r="BO131" s="240"/>
      <c r="BP131" s="240"/>
      <c r="BQ131" s="240"/>
      <c r="BR131" s="240"/>
      <c r="BS131" s="240"/>
      <c r="BT131" s="240"/>
      <c r="BU131" s="240"/>
      <c r="BV131" s="240"/>
      <c r="BW131" s="240"/>
      <c r="BX131" s="240"/>
      <c r="BY131" s="240"/>
      <c r="BZ131" s="240"/>
      <c r="CA131" s="240"/>
      <c r="CB131" s="240"/>
      <c r="CC131" s="240"/>
      <c r="CD131" s="240"/>
      <c r="CE131" s="240"/>
      <c r="CF131" s="240"/>
      <c r="CG131" s="240"/>
      <c r="CH131" s="1"/>
    </row>
    <row r="132" spans="1:86" ht="31.5" customHeight="1" x14ac:dyDescent="0.35">
      <c r="A132" s="1"/>
      <c r="B132" s="299" t="s">
        <v>65</v>
      </c>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300"/>
      <c r="AI132" s="300"/>
      <c r="AJ132" s="300"/>
      <c r="AK132" s="300"/>
      <c r="AL132" s="300"/>
      <c r="AM132" s="300"/>
      <c r="AN132" s="300"/>
      <c r="AO132" s="300"/>
      <c r="AP132" s="300"/>
      <c r="AQ132" s="300"/>
      <c r="AR132" s="300"/>
      <c r="AS132" s="300"/>
      <c r="AT132" s="300"/>
      <c r="AU132" s="300"/>
      <c r="AV132" s="300"/>
      <c r="AW132" s="300"/>
      <c r="AX132" s="300"/>
      <c r="AY132" s="300"/>
      <c r="AZ132" s="300"/>
      <c r="BA132" s="300"/>
      <c r="BB132" s="300"/>
      <c r="BC132" s="300"/>
      <c r="BD132" s="300"/>
      <c r="BE132" s="300"/>
      <c r="BF132" s="300"/>
      <c r="BG132" s="300"/>
      <c r="BH132" s="300"/>
      <c r="BI132" s="300"/>
      <c r="BJ132" s="300"/>
      <c r="BK132" s="300"/>
      <c r="BL132" s="300"/>
      <c r="BM132" s="300"/>
      <c r="BN132" s="300"/>
      <c r="BO132" s="300"/>
      <c r="BP132" s="300"/>
      <c r="BQ132" s="300"/>
      <c r="BR132" s="300"/>
      <c r="BS132" s="300"/>
      <c r="BT132" s="300"/>
      <c r="BU132" s="300"/>
      <c r="BV132" s="300"/>
      <c r="BW132" s="300"/>
      <c r="BX132" s="300"/>
      <c r="BY132" s="300"/>
      <c r="BZ132" s="300"/>
      <c r="CA132" s="300"/>
      <c r="CB132" s="300"/>
      <c r="CC132" s="300"/>
      <c r="CD132" s="300"/>
      <c r="CE132" s="300"/>
      <c r="CF132" s="300"/>
      <c r="CG132" s="301"/>
      <c r="CH132" s="1"/>
    </row>
    <row r="133" spans="1:86" ht="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row>
    <row r="134" spans="1:86" ht="38.5" customHeight="1" x14ac:dyDescent="0.35">
      <c r="A134" s="1"/>
      <c r="B134" s="244" t="s">
        <v>133</v>
      </c>
      <c r="C134" s="245"/>
      <c r="D134" s="245"/>
      <c r="E134" s="245"/>
      <c r="F134" s="245"/>
      <c r="G134" s="245"/>
      <c r="H134" s="245"/>
      <c r="I134" s="245"/>
      <c r="J134" s="245"/>
      <c r="K134" s="245"/>
      <c r="L134" s="245"/>
      <c r="M134" s="245"/>
      <c r="N134" s="245"/>
      <c r="O134" s="245"/>
      <c r="P134" s="245"/>
      <c r="Q134" s="245"/>
      <c r="R134" s="245"/>
      <c r="S134" s="245"/>
      <c r="T134" s="245"/>
      <c r="U134" s="245"/>
      <c r="V134" s="245"/>
      <c r="W134" s="245"/>
      <c r="X134" s="245"/>
      <c r="Y134" s="245"/>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c r="AT134" s="245"/>
      <c r="AU134" s="245"/>
      <c r="AV134" s="245"/>
      <c r="AW134" s="245"/>
      <c r="AX134" s="245"/>
      <c r="AY134" s="245"/>
      <c r="AZ134" s="245"/>
      <c r="BA134" s="245"/>
      <c r="BB134" s="245"/>
      <c r="BC134" s="245"/>
      <c r="BD134" s="245"/>
      <c r="BE134" s="245"/>
      <c r="BF134" s="245"/>
      <c r="BG134" s="245"/>
      <c r="BH134" s="245"/>
      <c r="BI134" s="245"/>
      <c r="BJ134" s="245"/>
      <c r="BK134" s="245"/>
      <c r="BL134" s="245"/>
      <c r="BM134" s="245"/>
      <c r="BN134" s="245"/>
      <c r="BO134" s="245"/>
      <c r="BP134" s="245"/>
      <c r="BQ134" s="245"/>
      <c r="BR134" s="245"/>
      <c r="BS134" s="245"/>
      <c r="BT134" s="245"/>
      <c r="BU134" s="245"/>
      <c r="BV134" s="245"/>
      <c r="BW134" s="245"/>
      <c r="BX134" s="245"/>
      <c r="BY134" s="245"/>
      <c r="BZ134" s="245"/>
      <c r="CA134" s="245"/>
      <c r="CB134" s="245"/>
      <c r="CC134" s="245"/>
      <c r="CD134" s="245"/>
      <c r="CE134" s="245"/>
      <c r="CF134" s="245"/>
      <c r="CG134" s="246"/>
      <c r="CH134" s="1"/>
    </row>
    <row r="135" spans="1:86" ht="14.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row>
    <row r="136" spans="1:86" ht="14.5" customHeight="1" x14ac:dyDescent="0.35"/>
    <row r="137" spans="1:86" ht="14.5" customHeight="1" x14ac:dyDescent="0.35"/>
    <row r="138" spans="1:86" ht="14.5" customHeight="1" x14ac:dyDescent="0.35"/>
    <row r="139" spans="1:86" ht="14.5" customHeight="1" x14ac:dyDescent="0.35"/>
    <row r="140" spans="1:86" ht="14.5" customHeight="1" x14ac:dyDescent="0.35"/>
    <row r="141" spans="1:86" ht="14.5" customHeight="1" x14ac:dyDescent="0.35"/>
    <row r="142" spans="1:86" ht="14.5" customHeight="1" x14ac:dyDescent="0.35"/>
    <row r="143" spans="1:86" ht="14.5" customHeight="1" x14ac:dyDescent="0.35"/>
    <row r="144" spans="1:86"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sheetData>
  <sheetProtection sheet="1" formatCells="0"/>
  <mergeCells count="1192">
    <mergeCell ref="G59:Y59"/>
    <mergeCell ref="G67:Y70"/>
    <mergeCell ref="G72:Y72"/>
    <mergeCell ref="G79:Y79"/>
    <mergeCell ref="G82:Y82"/>
    <mergeCell ref="G89:Y89"/>
    <mergeCell ref="G97:Y97"/>
    <mergeCell ref="G61:Y61"/>
    <mergeCell ref="G62:Y62"/>
    <mergeCell ref="G74:Y74"/>
    <mergeCell ref="G75:Y75"/>
    <mergeCell ref="G76:Y76"/>
    <mergeCell ref="G77:Y77"/>
    <mergeCell ref="G83:Y83"/>
    <mergeCell ref="G84:Y84"/>
    <mergeCell ref="G85:Y85"/>
    <mergeCell ref="G86:Y86"/>
    <mergeCell ref="G87:Y87"/>
    <mergeCell ref="B23:F23"/>
    <mergeCell ref="B61:F61"/>
    <mergeCell ref="B67:F70"/>
    <mergeCell ref="B54:F54"/>
    <mergeCell ref="B45:F45"/>
    <mergeCell ref="G101:Y101"/>
    <mergeCell ref="G107:Y107"/>
    <mergeCell ref="G29:Y29"/>
    <mergeCell ref="G30:Y30"/>
    <mergeCell ref="G31:Y31"/>
    <mergeCell ref="G32:Y32"/>
    <mergeCell ref="G43:Y43"/>
    <mergeCell ref="G44:Y44"/>
    <mergeCell ref="G45:Y45"/>
    <mergeCell ref="G46:Y46"/>
    <mergeCell ref="G47:Y47"/>
    <mergeCell ref="G48:Y48"/>
    <mergeCell ref="G49:Y49"/>
    <mergeCell ref="G50:Y50"/>
    <mergeCell ref="G51:Y51"/>
    <mergeCell ref="G52:Y52"/>
    <mergeCell ref="G53:Y53"/>
    <mergeCell ref="G60:Y60"/>
    <mergeCell ref="BT44:BV44"/>
    <mergeCell ref="BT34:BV34"/>
    <mergeCell ref="AS31:AU31"/>
    <mergeCell ref="AV31:AX31"/>
    <mergeCell ref="BO31:BS31"/>
    <mergeCell ref="BT31:BV31"/>
    <mergeCell ref="AJ32:AL32"/>
    <mergeCell ref="AF32:AH32"/>
    <mergeCell ref="AF34:AH34"/>
    <mergeCell ref="BT28:BV28"/>
    <mergeCell ref="B26:F26"/>
    <mergeCell ref="AA26:AD26"/>
    <mergeCell ref="AP32:AR32"/>
    <mergeCell ref="AS32:AU32"/>
    <mergeCell ref="AV32:AX32"/>
    <mergeCell ref="AV29:AX29"/>
    <mergeCell ref="AA27:AD27"/>
    <mergeCell ref="AJ26:AL26"/>
    <mergeCell ref="AM26:AO26"/>
    <mergeCell ref="AP26:AR26"/>
    <mergeCell ref="AS26:AU26"/>
    <mergeCell ref="BT27:BV27"/>
    <mergeCell ref="G26:Y26"/>
    <mergeCell ref="G27:Y27"/>
    <mergeCell ref="G28:Y28"/>
    <mergeCell ref="G34:Y34"/>
    <mergeCell ref="G37:Y40"/>
    <mergeCell ref="G42:Y42"/>
    <mergeCell ref="AV52:AX52"/>
    <mergeCell ref="BO52:BS52"/>
    <mergeCell ref="AV51:AX51"/>
    <mergeCell ref="BX31:BY31"/>
    <mergeCell ref="BZ31:CA31"/>
    <mergeCell ref="CB31:CC31"/>
    <mergeCell ref="CD31:CE31"/>
    <mergeCell ref="CF31:CG31"/>
    <mergeCell ref="B30:F30"/>
    <mergeCell ref="AA30:AD30"/>
    <mergeCell ref="AF30:AH30"/>
    <mergeCell ref="AJ30:AL30"/>
    <mergeCell ref="AM30:AO30"/>
    <mergeCell ref="AP30:AR30"/>
    <mergeCell ref="AS30:AU30"/>
    <mergeCell ref="AV30:AX30"/>
    <mergeCell ref="BO30:BS30"/>
    <mergeCell ref="BT30:BV30"/>
    <mergeCell ref="BX30:BY30"/>
    <mergeCell ref="BZ30:CA30"/>
    <mergeCell ref="CB30:CC30"/>
    <mergeCell ref="CD30:CE30"/>
    <mergeCell ref="CF30:CG30"/>
    <mergeCell ref="B31:F31"/>
    <mergeCell ref="AA31:AD31"/>
    <mergeCell ref="AF31:AH31"/>
    <mergeCell ref="AJ31:AL31"/>
    <mergeCell ref="AM31:AO31"/>
    <mergeCell ref="AP31:AR31"/>
    <mergeCell ref="AF45:AH45"/>
    <mergeCell ref="AF46:AH46"/>
    <mergeCell ref="AF47:AH47"/>
    <mergeCell ref="AF49:AH49"/>
    <mergeCell ref="AF50:AH50"/>
    <mergeCell ref="AF51:AH51"/>
    <mergeCell ref="AF52:AH52"/>
    <mergeCell ref="AF53:AH53"/>
    <mergeCell ref="AM45:AO45"/>
    <mergeCell ref="AP45:AR45"/>
    <mergeCell ref="AS45:AU45"/>
    <mergeCell ref="AM43:AO43"/>
    <mergeCell ref="AP43:AR43"/>
    <mergeCell ref="AS43:AU43"/>
    <mergeCell ref="B52:F52"/>
    <mergeCell ref="AA52:AD52"/>
    <mergeCell ref="AJ52:AL52"/>
    <mergeCell ref="AM52:AO52"/>
    <mergeCell ref="AP52:AR52"/>
    <mergeCell ref="AS52:AU52"/>
    <mergeCell ref="AA45:AD45"/>
    <mergeCell ref="AP101:AR101"/>
    <mergeCell ref="AS101:AU101"/>
    <mergeCell ref="AV101:AX101"/>
    <mergeCell ref="AA68:AD70"/>
    <mergeCell ref="AF68:AH70"/>
    <mergeCell ref="AA92:AD92"/>
    <mergeCell ref="AF92:AH92"/>
    <mergeCell ref="AA93:AD95"/>
    <mergeCell ref="AF93:AH95"/>
    <mergeCell ref="AM101:AO101"/>
    <mergeCell ref="AF62:AH62"/>
    <mergeCell ref="AF64:AH64"/>
    <mergeCell ref="AF73:AH73"/>
    <mergeCell ref="AF74:AH74"/>
    <mergeCell ref="AF76:AH76"/>
    <mergeCell ref="AF77:AH77"/>
    <mergeCell ref="AF79:AH79"/>
    <mergeCell ref="AF83:AH83"/>
    <mergeCell ref="AF84:AH84"/>
    <mergeCell ref="AF85:AH85"/>
    <mergeCell ref="AF86:AH86"/>
    <mergeCell ref="AF87:AH87"/>
    <mergeCell ref="AF89:AH89"/>
    <mergeCell ref="AJ101:AL101"/>
    <mergeCell ref="AJ62:AL62"/>
    <mergeCell ref="AJ75:AL75"/>
    <mergeCell ref="AJ76:AL76"/>
    <mergeCell ref="AM76:AO76"/>
    <mergeCell ref="AJ77:AL77"/>
    <mergeCell ref="AV85:AX85"/>
    <mergeCell ref="AJ86:AL86"/>
    <mergeCell ref="AP86:AR86"/>
    <mergeCell ref="AS86:AU86"/>
    <mergeCell ref="AV86:AX86"/>
    <mergeCell ref="AJ87:AL87"/>
    <mergeCell ref="AM87:AO87"/>
    <mergeCell ref="AF16:AH16"/>
    <mergeCell ref="AF17:AH17"/>
    <mergeCell ref="AF18:AH18"/>
    <mergeCell ref="AF19:AH19"/>
    <mergeCell ref="AF20:AH20"/>
    <mergeCell ref="AF21:AH21"/>
    <mergeCell ref="AF22:AH22"/>
    <mergeCell ref="AF23:AH23"/>
    <mergeCell ref="AF24:AH24"/>
    <mergeCell ref="AF25:AH25"/>
    <mergeCell ref="AF26:AH26"/>
    <mergeCell ref="AF27:AH27"/>
    <mergeCell ref="AF28:AH28"/>
    <mergeCell ref="AP62:AR62"/>
    <mergeCell ref="AS62:AU62"/>
    <mergeCell ref="AV62:AX62"/>
    <mergeCell ref="AS61:AU61"/>
    <mergeCell ref="AV61:AX61"/>
    <mergeCell ref="AF75:AH75"/>
    <mergeCell ref="AS28:AU28"/>
    <mergeCell ref="AV28:AX28"/>
    <mergeCell ref="AJ45:AL45"/>
    <mergeCell ref="AM47:AO47"/>
    <mergeCell ref="AP47:AR47"/>
    <mergeCell ref="AS47:AU47"/>
    <mergeCell ref="AP49:AR49"/>
    <mergeCell ref="AS49:AU49"/>
    <mergeCell ref="AM46:AO46"/>
    <mergeCell ref="AA117:AD117"/>
    <mergeCell ref="BO117:BS117"/>
    <mergeCell ref="BT117:BV117"/>
    <mergeCell ref="BX117:BY117"/>
    <mergeCell ref="BZ117:CA117"/>
    <mergeCell ref="CB117:CC117"/>
    <mergeCell ref="CD117:CE117"/>
    <mergeCell ref="CF117:CG117"/>
    <mergeCell ref="B119:Y119"/>
    <mergeCell ref="AA119:AD119"/>
    <mergeCell ref="BO119:BS119"/>
    <mergeCell ref="BT119:BV119"/>
    <mergeCell ref="BX119:BY119"/>
    <mergeCell ref="BZ119:CA119"/>
    <mergeCell ref="CB119:CC119"/>
    <mergeCell ref="Q126:W126"/>
    <mergeCell ref="CD119:CE119"/>
    <mergeCell ref="CF119:CG119"/>
    <mergeCell ref="B117:Y117"/>
    <mergeCell ref="B134:CG134"/>
    <mergeCell ref="BI126:BJ126"/>
    <mergeCell ref="BK126:BL126"/>
    <mergeCell ref="CD123:CE123"/>
    <mergeCell ref="CF123:CG123"/>
    <mergeCell ref="B126:F126"/>
    <mergeCell ref="AN126:AU126"/>
    <mergeCell ref="AV126:AZ126"/>
    <mergeCell ref="BE126:BG126"/>
    <mergeCell ref="CB121:CC121"/>
    <mergeCell ref="CD121:CE121"/>
    <mergeCell ref="CF121:CG121"/>
    <mergeCell ref="B123:Y123"/>
    <mergeCell ref="AA123:AD123"/>
    <mergeCell ref="BO123:BS123"/>
    <mergeCell ref="BT123:BV123"/>
    <mergeCell ref="BX123:BY123"/>
    <mergeCell ref="BZ123:CA123"/>
    <mergeCell ref="CB123:CC123"/>
    <mergeCell ref="B121:Y121"/>
    <mergeCell ref="AA121:AD121"/>
    <mergeCell ref="BO121:BS121"/>
    <mergeCell ref="BT121:BV121"/>
    <mergeCell ref="BX121:BY121"/>
    <mergeCell ref="BZ121:CA121"/>
    <mergeCell ref="B128:CG128"/>
    <mergeCell ref="H126:P126"/>
    <mergeCell ref="AG126:AL126"/>
    <mergeCell ref="B130:CG130"/>
    <mergeCell ref="B131:CG131"/>
    <mergeCell ref="B132:CG132"/>
    <mergeCell ref="B112:F112"/>
    <mergeCell ref="G112:Y112"/>
    <mergeCell ref="AA112:AD112"/>
    <mergeCell ref="BO112:BS112"/>
    <mergeCell ref="BT112:BV112"/>
    <mergeCell ref="BX112:BY112"/>
    <mergeCell ref="BZ112:CA112"/>
    <mergeCell ref="CB112:CC112"/>
    <mergeCell ref="CD112:CE112"/>
    <mergeCell ref="CF112:CG112"/>
    <mergeCell ref="B115:Y115"/>
    <mergeCell ref="AA115:AD115"/>
    <mergeCell ref="BO115:BS115"/>
    <mergeCell ref="BT115:BV115"/>
    <mergeCell ref="BX115:BY115"/>
    <mergeCell ref="BZ115:CA115"/>
    <mergeCell ref="CB115:CC115"/>
    <mergeCell ref="CD115:CE115"/>
    <mergeCell ref="CF115:CG115"/>
    <mergeCell ref="AF112:AH112"/>
    <mergeCell ref="AF115:AH115"/>
    <mergeCell ref="CF109:CG109"/>
    <mergeCell ref="B110:F110"/>
    <mergeCell ref="AA110:AD110"/>
    <mergeCell ref="AP110:AR110"/>
    <mergeCell ref="AS110:AU110"/>
    <mergeCell ref="AV110:AX110"/>
    <mergeCell ref="BO110:BS110"/>
    <mergeCell ref="BT110:BV110"/>
    <mergeCell ref="BX110:BY110"/>
    <mergeCell ref="BZ110:CA110"/>
    <mergeCell ref="BO109:BS109"/>
    <mergeCell ref="BT109:BV109"/>
    <mergeCell ref="BX109:BY109"/>
    <mergeCell ref="BZ109:CA109"/>
    <mergeCell ref="CB109:CC109"/>
    <mergeCell ref="CD109:CE109"/>
    <mergeCell ref="B109:F109"/>
    <mergeCell ref="AA109:AD109"/>
    <mergeCell ref="AM109:AO109"/>
    <mergeCell ref="AP109:AR109"/>
    <mergeCell ref="AS109:AU109"/>
    <mergeCell ref="AV109:AX109"/>
    <mergeCell ref="CB110:CC110"/>
    <mergeCell ref="CD110:CE110"/>
    <mergeCell ref="CF110:CG110"/>
    <mergeCell ref="AJ109:AL109"/>
    <mergeCell ref="AJ110:AL110"/>
    <mergeCell ref="AM110:AO110"/>
    <mergeCell ref="AF109:AH109"/>
    <mergeCell ref="AF110:AH110"/>
    <mergeCell ref="G109:Y109"/>
    <mergeCell ref="G110:Y110"/>
    <mergeCell ref="BT108:BV108"/>
    <mergeCell ref="BX108:BY108"/>
    <mergeCell ref="BZ108:CA108"/>
    <mergeCell ref="CB108:CC108"/>
    <mergeCell ref="CD108:CE108"/>
    <mergeCell ref="CF108:CG108"/>
    <mergeCell ref="CD107:CE107"/>
    <mergeCell ref="CF107:CG107"/>
    <mergeCell ref="B108:F108"/>
    <mergeCell ref="AA108:AD108"/>
    <mergeCell ref="AJ108:AL108"/>
    <mergeCell ref="AM108:AO108"/>
    <mergeCell ref="AP108:AR108"/>
    <mergeCell ref="AS108:AU108"/>
    <mergeCell ref="AV108:AX108"/>
    <mergeCell ref="BO108:BS108"/>
    <mergeCell ref="AV107:AX107"/>
    <mergeCell ref="BO107:BS107"/>
    <mergeCell ref="BT107:BV107"/>
    <mergeCell ref="BX107:BY107"/>
    <mergeCell ref="BZ107:CA107"/>
    <mergeCell ref="CB107:CC107"/>
    <mergeCell ref="B107:F107"/>
    <mergeCell ref="AA107:AD107"/>
    <mergeCell ref="AF107:AH107"/>
    <mergeCell ref="AF108:AH108"/>
    <mergeCell ref="G108:Y108"/>
    <mergeCell ref="CF101:CG101"/>
    <mergeCell ref="BO101:BS101"/>
    <mergeCell ref="BT101:BV101"/>
    <mergeCell ref="BX101:BY101"/>
    <mergeCell ref="BZ101:CA101"/>
    <mergeCell ref="CB101:CC101"/>
    <mergeCell ref="CD101:CE101"/>
    <mergeCell ref="AJ107:AL107"/>
    <mergeCell ref="AM107:AO107"/>
    <mergeCell ref="AP107:AR107"/>
    <mergeCell ref="AS107:AU107"/>
    <mergeCell ref="CF103:CG103"/>
    <mergeCell ref="B106:F106"/>
    <mergeCell ref="G106:Y106"/>
    <mergeCell ref="BX106:BY106"/>
    <mergeCell ref="BZ106:CA106"/>
    <mergeCell ref="CB106:CC106"/>
    <mergeCell ref="CD106:CE106"/>
    <mergeCell ref="CF106:CG106"/>
    <mergeCell ref="B103:F103"/>
    <mergeCell ref="G103:Y103"/>
    <mergeCell ref="AA103:AD103"/>
    <mergeCell ref="BO103:BS103"/>
    <mergeCell ref="BT103:BV103"/>
    <mergeCell ref="BX103:BY103"/>
    <mergeCell ref="BZ103:CA103"/>
    <mergeCell ref="CB103:CC103"/>
    <mergeCell ref="CD103:CE103"/>
    <mergeCell ref="AF101:AH101"/>
    <mergeCell ref="AF103:AH103"/>
    <mergeCell ref="B101:F101"/>
    <mergeCell ref="AA101:AD101"/>
    <mergeCell ref="CD99:CE99"/>
    <mergeCell ref="CF99:CG99"/>
    <mergeCell ref="B100:F100"/>
    <mergeCell ref="AA100:AD100"/>
    <mergeCell ref="AM100:AO100"/>
    <mergeCell ref="AP100:AR100"/>
    <mergeCell ref="AS100:AU100"/>
    <mergeCell ref="AV100:AX100"/>
    <mergeCell ref="BO100:BS100"/>
    <mergeCell ref="BT100:BV100"/>
    <mergeCell ref="AV99:AX99"/>
    <mergeCell ref="BO99:BS99"/>
    <mergeCell ref="BT99:BV99"/>
    <mergeCell ref="BX99:BY99"/>
    <mergeCell ref="BZ99:CA99"/>
    <mergeCell ref="CB99:CC99"/>
    <mergeCell ref="B99:F99"/>
    <mergeCell ref="AA99:AD99"/>
    <mergeCell ref="AJ99:AL99"/>
    <mergeCell ref="AM99:AO99"/>
    <mergeCell ref="AP99:AR99"/>
    <mergeCell ref="AS99:AU99"/>
    <mergeCell ref="BX100:BY100"/>
    <mergeCell ref="BZ100:CA100"/>
    <mergeCell ref="CB100:CC100"/>
    <mergeCell ref="CD100:CE100"/>
    <mergeCell ref="CF100:CG100"/>
    <mergeCell ref="AF99:AH99"/>
    <mergeCell ref="AF100:AH100"/>
    <mergeCell ref="AJ100:AL100"/>
    <mergeCell ref="G99:Y99"/>
    <mergeCell ref="G100:Y100"/>
    <mergeCell ref="AJ94:AX94"/>
    <mergeCell ref="BT98:BV98"/>
    <mergeCell ref="BX98:BY98"/>
    <mergeCell ref="BZ98:CA98"/>
    <mergeCell ref="CB98:CC98"/>
    <mergeCell ref="CD98:CE98"/>
    <mergeCell ref="CF98:CG98"/>
    <mergeCell ref="CD97:CE97"/>
    <mergeCell ref="CF97:CG97"/>
    <mergeCell ref="B98:F98"/>
    <mergeCell ref="AA98:AD98"/>
    <mergeCell ref="AJ98:AL98"/>
    <mergeCell ref="AM98:AO98"/>
    <mergeCell ref="AP98:AR98"/>
    <mergeCell ref="AS98:AU98"/>
    <mergeCell ref="AV98:AX98"/>
    <mergeCell ref="BO98:BS98"/>
    <mergeCell ref="B97:F97"/>
    <mergeCell ref="BX97:BY97"/>
    <mergeCell ref="BZ97:CA97"/>
    <mergeCell ref="CB97:CC97"/>
    <mergeCell ref="BI94:BI95"/>
    <mergeCell ref="BJ94:BJ95"/>
    <mergeCell ref="BK94:BK95"/>
    <mergeCell ref="BL94:BL95"/>
    <mergeCell ref="AF98:AH98"/>
    <mergeCell ref="G98:Y98"/>
    <mergeCell ref="BZ89:CA89"/>
    <mergeCell ref="CB89:CC89"/>
    <mergeCell ref="CD89:CE89"/>
    <mergeCell ref="CF89:CG89"/>
    <mergeCell ref="BX89:BY89"/>
    <mergeCell ref="BX95:BY95"/>
    <mergeCell ref="BZ95:CA95"/>
    <mergeCell ref="CB95:CC95"/>
    <mergeCell ref="CD95:CE95"/>
    <mergeCell ref="CF95:CG95"/>
    <mergeCell ref="B92:F95"/>
    <mergeCell ref="G92:Y95"/>
    <mergeCell ref="AJ92:AX93"/>
    <mergeCell ref="AZ92:BG92"/>
    <mergeCell ref="BI92:BV92"/>
    <mergeCell ref="B89:F89"/>
    <mergeCell ref="AA89:AD89"/>
    <mergeCell ref="BO89:BS89"/>
    <mergeCell ref="BT89:BV89"/>
    <mergeCell ref="BM94:BM95"/>
    <mergeCell ref="BN94:BN95"/>
    <mergeCell ref="BO94:BS95"/>
    <mergeCell ref="AJ95:AL95"/>
    <mergeCell ref="AM95:AO95"/>
    <mergeCell ref="AP95:AR95"/>
    <mergeCell ref="AS95:AU95"/>
    <mergeCell ref="AV95:AX95"/>
    <mergeCell ref="BX92:CG94"/>
    <mergeCell ref="AZ93:BC93"/>
    <mergeCell ref="BD93:BF93"/>
    <mergeCell ref="BI93:BS93"/>
    <mergeCell ref="BT93:BV95"/>
    <mergeCell ref="BZ84:CA84"/>
    <mergeCell ref="CB84:CC84"/>
    <mergeCell ref="CD84:CE84"/>
    <mergeCell ref="CF84:CG84"/>
    <mergeCell ref="B87:F87"/>
    <mergeCell ref="AA87:AD87"/>
    <mergeCell ref="AP87:AR87"/>
    <mergeCell ref="AS87:AU87"/>
    <mergeCell ref="AV87:AX87"/>
    <mergeCell ref="BO87:BS87"/>
    <mergeCell ref="B86:F86"/>
    <mergeCell ref="AA86:AD86"/>
    <mergeCell ref="AM86:AO86"/>
    <mergeCell ref="BO86:BS86"/>
    <mergeCell ref="BT87:BV87"/>
    <mergeCell ref="BX87:BY87"/>
    <mergeCell ref="BZ87:CA87"/>
    <mergeCell ref="CB87:CC87"/>
    <mergeCell ref="CD87:CE87"/>
    <mergeCell ref="CF87:CG87"/>
    <mergeCell ref="BZ86:CA86"/>
    <mergeCell ref="CB86:CC86"/>
    <mergeCell ref="CD86:CE86"/>
    <mergeCell ref="CF86:CG86"/>
    <mergeCell ref="BT86:BV86"/>
    <mergeCell ref="BX86:BY86"/>
    <mergeCell ref="AM84:AO84"/>
    <mergeCell ref="AP84:AR84"/>
    <mergeCell ref="AS84:AU84"/>
    <mergeCell ref="AV84:AX84"/>
    <mergeCell ref="AP85:AR85"/>
    <mergeCell ref="AS85:AU85"/>
    <mergeCell ref="CF83:CG83"/>
    <mergeCell ref="B84:F84"/>
    <mergeCell ref="AA84:AD84"/>
    <mergeCell ref="AJ84:AL84"/>
    <mergeCell ref="BO84:BS84"/>
    <mergeCell ref="BT84:BV84"/>
    <mergeCell ref="CF82:CG82"/>
    <mergeCell ref="B83:F83"/>
    <mergeCell ref="AA83:AD83"/>
    <mergeCell ref="AJ83:AL83"/>
    <mergeCell ref="AM83:AO83"/>
    <mergeCell ref="AP83:AR83"/>
    <mergeCell ref="AS83:AU83"/>
    <mergeCell ref="AV83:AX83"/>
    <mergeCell ref="BO83:BS83"/>
    <mergeCell ref="BT83:BV83"/>
    <mergeCell ref="B85:F85"/>
    <mergeCell ref="AA85:AD85"/>
    <mergeCell ref="AJ85:AL85"/>
    <mergeCell ref="AM85:AO85"/>
    <mergeCell ref="BO85:BS85"/>
    <mergeCell ref="BX83:BY83"/>
    <mergeCell ref="BZ83:CA83"/>
    <mergeCell ref="CB83:CC83"/>
    <mergeCell ref="CD83:CE83"/>
    <mergeCell ref="BT85:BV85"/>
    <mergeCell ref="BX85:BY85"/>
    <mergeCell ref="BZ85:CA85"/>
    <mergeCell ref="CB85:CC85"/>
    <mergeCell ref="CD85:CE85"/>
    <mergeCell ref="CF85:CG85"/>
    <mergeCell ref="BX84:BY84"/>
    <mergeCell ref="BT77:BV77"/>
    <mergeCell ref="BX77:BY77"/>
    <mergeCell ref="BZ77:CA77"/>
    <mergeCell ref="CB77:CC77"/>
    <mergeCell ref="CD77:CE77"/>
    <mergeCell ref="CF77:CG77"/>
    <mergeCell ref="B77:F77"/>
    <mergeCell ref="AA77:AD77"/>
    <mergeCell ref="AP77:AR77"/>
    <mergeCell ref="AS77:AU77"/>
    <mergeCell ref="AV77:AX77"/>
    <mergeCell ref="BO77:BS77"/>
    <mergeCell ref="BZ79:CA79"/>
    <mergeCell ref="CB79:CC79"/>
    <mergeCell ref="CD79:CE79"/>
    <mergeCell ref="CF79:CG79"/>
    <mergeCell ref="B82:F82"/>
    <mergeCell ref="BX82:BY82"/>
    <mergeCell ref="BZ82:CA82"/>
    <mergeCell ref="CB82:CC82"/>
    <mergeCell ref="CD82:CE82"/>
    <mergeCell ref="B79:F79"/>
    <mergeCell ref="AA79:AD79"/>
    <mergeCell ref="BO79:BS79"/>
    <mergeCell ref="BT79:BV79"/>
    <mergeCell ref="BX79:BY79"/>
    <mergeCell ref="AM77:AO77"/>
    <mergeCell ref="BX74:BY74"/>
    <mergeCell ref="BZ74:CA74"/>
    <mergeCell ref="BT76:BV76"/>
    <mergeCell ref="BX76:BY76"/>
    <mergeCell ref="BZ76:CA76"/>
    <mergeCell ref="CB76:CC76"/>
    <mergeCell ref="CD76:CE76"/>
    <mergeCell ref="CF76:CG76"/>
    <mergeCell ref="B76:F76"/>
    <mergeCell ref="AA76:AD76"/>
    <mergeCell ref="AP76:AR76"/>
    <mergeCell ref="AS76:AU76"/>
    <mergeCell ref="AV76:AX76"/>
    <mergeCell ref="BO76:BS76"/>
    <mergeCell ref="B74:F74"/>
    <mergeCell ref="AA74:AD74"/>
    <mergeCell ref="AJ74:AL74"/>
    <mergeCell ref="AM74:AO74"/>
    <mergeCell ref="AP74:AR74"/>
    <mergeCell ref="B75:F75"/>
    <mergeCell ref="AA75:AD75"/>
    <mergeCell ref="AM75:AO75"/>
    <mergeCell ref="AP75:AR75"/>
    <mergeCell ref="AS75:AU75"/>
    <mergeCell ref="AV75:AX75"/>
    <mergeCell ref="BO75:BS75"/>
    <mergeCell ref="AS74:AU74"/>
    <mergeCell ref="AV74:AX74"/>
    <mergeCell ref="BO74:BS74"/>
    <mergeCell ref="BT75:BV75"/>
    <mergeCell ref="BX75:BY75"/>
    <mergeCell ref="BZ75:CA75"/>
    <mergeCell ref="CF72:CG72"/>
    <mergeCell ref="B73:F73"/>
    <mergeCell ref="AA73:AD73"/>
    <mergeCell ref="AJ73:AL73"/>
    <mergeCell ref="AM73:AO73"/>
    <mergeCell ref="AP73:AR73"/>
    <mergeCell ref="AS73:AU73"/>
    <mergeCell ref="AV73:AX73"/>
    <mergeCell ref="BO73:BS73"/>
    <mergeCell ref="BT73:BV73"/>
    <mergeCell ref="BX73:BY73"/>
    <mergeCell ref="BZ73:CA73"/>
    <mergeCell ref="CB73:CC73"/>
    <mergeCell ref="CD73:CE73"/>
    <mergeCell ref="CF73:CG73"/>
    <mergeCell ref="B72:F72"/>
    <mergeCell ref="BX72:BY72"/>
    <mergeCell ref="BZ72:CA72"/>
    <mergeCell ref="CB72:CC72"/>
    <mergeCell ref="CD72:CE72"/>
    <mergeCell ref="G73:Y73"/>
    <mergeCell ref="AA61:AD61"/>
    <mergeCell ref="AJ61:AL61"/>
    <mergeCell ref="AM61:AO61"/>
    <mergeCell ref="AP61:AR61"/>
    <mergeCell ref="CB61:CC61"/>
    <mergeCell ref="CD61:CE61"/>
    <mergeCell ref="CB75:CC75"/>
    <mergeCell ref="CD75:CE75"/>
    <mergeCell ref="CF75:CG75"/>
    <mergeCell ref="CB74:CC74"/>
    <mergeCell ref="CD74:CE74"/>
    <mergeCell ref="CF74:CG74"/>
    <mergeCell ref="BT74:BV74"/>
    <mergeCell ref="AA62:AD62"/>
    <mergeCell ref="AJ70:AL70"/>
    <mergeCell ref="AM70:AO70"/>
    <mergeCell ref="AP70:AR70"/>
    <mergeCell ref="AS70:AU70"/>
    <mergeCell ref="AV70:AX70"/>
    <mergeCell ref="BX70:BY70"/>
    <mergeCell ref="AJ67:AX68"/>
    <mergeCell ref="AZ67:BG67"/>
    <mergeCell ref="BI67:BV67"/>
    <mergeCell ref="BX67:CG69"/>
    <mergeCell ref="AZ68:BC68"/>
    <mergeCell ref="BD68:BF68"/>
    <mergeCell ref="BI68:BS68"/>
    <mergeCell ref="BT68:BV70"/>
    <mergeCell ref="AJ69:AX69"/>
    <mergeCell ref="BO69:BS70"/>
    <mergeCell ref="BZ70:CA70"/>
    <mergeCell ref="CB70:CC70"/>
    <mergeCell ref="CD70:CE70"/>
    <mergeCell ref="CF70:CG70"/>
    <mergeCell ref="CF62:CG62"/>
    <mergeCell ref="B64:F64"/>
    <mergeCell ref="G64:Y64"/>
    <mergeCell ref="AA64:AD64"/>
    <mergeCell ref="BO64:BS64"/>
    <mergeCell ref="BT64:BV64"/>
    <mergeCell ref="BX64:BY64"/>
    <mergeCell ref="BZ64:CA64"/>
    <mergeCell ref="CB64:CC64"/>
    <mergeCell ref="CD64:CE64"/>
    <mergeCell ref="BO62:BS62"/>
    <mergeCell ref="BT62:BV62"/>
    <mergeCell ref="BX62:BY62"/>
    <mergeCell ref="BZ62:CA62"/>
    <mergeCell ref="CB62:CC62"/>
    <mergeCell ref="CD62:CE62"/>
    <mergeCell ref="CF64:CG64"/>
    <mergeCell ref="B62:F62"/>
    <mergeCell ref="BI69:BI70"/>
    <mergeCell ref="BJ69:BJ70"/>
    <mergeCell ref="BK69:BK70"/>
    <mergeCell ref="BL69:BL70"/>
    <mergeCell ref="BM69:BM70"/>
    <mergeCell ref="BN69:BN70"/>
    <mergeCell ref="AM62:AO62"/>
    <mergeCell ref="AA67:AD67"/>
    <mergeCell ref="AF67:AH67"/>
    <mergeCell ref="CF61:CG61"/>
    <mergeCell ref="BO61:BS61"/>
    <mergeCell ref="BT61:BV61"/>
    <mergeCell ref="BX61:BY61"/>
    <mergeCell ref="BZ61:CA61"/>
    <mergeCell ref="B60:F60"/>
    <mergeCell ref="AA60:AD60"/>
    <mergeCell ref="AJ60:AL60"/>
    <mergeCell ref="AM60:AO60"/>
    <mergeCell ref="AP60:AR60"/>
    <mergeCell ref="AS60:AU60"/>
    <mergeCell ref="AV60:AX60"/>
    <mergeCell ref="BO60:BS60"/>
    <mergeCell ref="BT60:BV60"/>
    <mergeCell ref="AF61:AH61"/>
    <mergeCell ref="AF60:AH60"/>
    <mergeCell ref="CD56:CE56"/>
    <mergeCell ref="CF56:CG56"/>
    <mergeCell ref="B59:F59"/>
    <mergeCell ref="BX59:BY59"/>
    <mergeCell ref="BZ59:CA59"/>
    <mergeCell ref="CB59:CC59"/>
    <mergeCell ref="CD59:CE59"/>
    <mergeCell ref="B56:F56"/>
    <mergeCell ref="AA56:AD56"/>
    <mergeCell ref="BO56:BS56"/>
    <mergeCell ref="BT56:BV56"/>
    <mergeCell ref="BX56:BY56"/>
    <mergeCell ref="CF59:CG59"/>
    <mergeCell ref="CB60:CC60"/>
    <mergeCell ref="CD60:CE60"/>
    <mergeCell ref="CF60:CG60"/>
    <mergeCell ref="AA54:AD54"/>
    <mergeCell ref="AJ54:AL54"/>
    <mergeCell ref="AM54:AO54"/>
    <mergeCell ref="AP54:AR54"/>
    <mergeCell ref="AS54:AU54"/>
    <mergeCell ref="AV54:AX54"/>
    <mergeCell ref="BO54:BS54"/>
    <mergeCell ref="AV53:AX53"/>
    <mergeCell ref="BO53:BS53"/>
    <mergeCell ref="BT53:BV53"/>
    <mergeCell ref="BX53:BY53"/>
    <mergeCell ref="BZ53:CA53"/>
    <mergeCell ref="CB53:CC53"/>
    <mergeCell ref="B53:F53"/>
    <mergeCell ref="AA53:AD53"/>
    <mergeCell ref="BZ56:CA56"/>
    <mergeCell ref="CB56:CC56"/>
    <mergeCell ref="AJ53:AL53"/>
    <mergeCell ref="AM53:AO53"/>
    <mergeCell ref="AP53:AR53"/>
    <mergeCell ref="AS53:AU53"/>
    <mergeCell ref="AF54:AH54"/>
    <mergeCell ref="AF56:AH56"/>
    <mergeCell ref="G54:Y54"/>
    <mergeCell ref="G56:Y56"/>
    <mergeCell ref="BX60:BY60"/>
    <mergeCell ref="BZ60:CA60"/>
    <mergeCell ref="BT52:BV52"/>
    <mergeCell ref="BX52:BY52"/>
    <mergeCell ref="BZ52:CA52"/>
    <mergeCell ref="CB52:CC52"/>
    <mergeCell ref="CD52:CE52"/>
    <mergeCell ref="BT54:BV54"/>
    <mergeCell ref="BX54:BY54"/>
    <mergeCell ref="BZ54:CA54"/>
    <mergeCell ref="CB54:CC54"/>
    <mergeCell ref="CD54:CE54"/>
    <mergeCell ref="CF54:CG54"/>
    <mergeCell ref="CD53:CE53"/>
    <mergeCell ref="CF53:CG53"/>
    <mergeCell ref="CF52:CG52"/>
    <mergeCell ref="CD51:CE51"/>
    <mergeCell ref="CF51:CG51"/>
    <mergeCell ref="BO51:BS51"/>
    <mergeCell ref="BT51:BV51"/>
    <mergeCell ref="BX51:BY51"/>
    <mergeCell ref="BZ51:CA51"/>
    <mergeCell ref="CB51:CC51"/>
    <mergeCell ref="B51:F51"/>
    <mergeCell ref="AA51:AD51"/>
    <mergeCell ref="AJ51:AL51"/>
    <mergeCell ref="AM51:AO51"/>
    <mergeCell ref="AP51:AR51"/>
    <mergeCell ref="AS51:AU51"/>
    <mergeCell ref="CF50:CG50"/>
    <mergeCell ref="CD49:CE49"/>
    <mergeCell ref="CF49:CG49"/>
    <mergeCell ref="B50:F50"/>
    <mergeCell ref="AA50:AD50"/>
    <mergeCell ref="AJ50:AL50"/>
    <mergeCell ref="AM50:AO50"/>
    <mergeCell ref="AP50:AR50"/>
    <mergeCell ref="AS50:AU50"/>
    <mergeCell ref="AV50:AX50"/>
    <mergeCell ref="BO50:BS50"/>
    <mergeCell ref="AV49:AX49"/>
    <mergeCell ref="BO49:BS49"/>
    <mergeCell ref="BT49:BV49"/>
    <mergeCell ref="BX49:BY49"/>
    <mergeCell ref="BZ49:CA49"/>
    <mergeCell ref="CB49:CC49"/>
    <mergeCell ref="B49:F49"/>
    <mergeCell ref="AA49:AD49"/>
    <mergeCell ref="AJ49:AL49"/>
    <mergeCell ref="AM49:AO49"/>
    <mergeCell ref="BT50:BV50"/>
    <mergeCell ref="BX50:BY50"/>
    <mergeCell ref="BZ50:CA50"/>
    <mergeCell ref="CB50:CC50"/>
    <mergeCell ref="CD50:CE50"/>
    <mergeCell ref="AP46:AR46"/>
    <mergeCell ref="AS46:AU46"/>
    <mergeCell ref="AV46:AX46"/>
    <mergeCell ref="BO46:BS46"/>
    <mergeCell ref="AV45:AX45"/>
    <mergeCell ref="BO45:BS45"/>
    <mergeCell ref="BT45:BV45"/>
    <mergeCell ref="BX45:BY45"/>
    <mergeCell ref="BZ45:CA45"/>
    <mergeCell ref="CB45:CC45"/>
    <mergeCell ref="BT46:BV46"/>
    <mergeCell ref="BX46:BY46"/>
    <mergeCell ref="BZ46:CA46"/>
    <mergeCell ref="CB46:CC46"/>
    <mergeCell ref="CD46:CE46"/>
    <mergeCell ref="CF48:CG48"/>
    <mergeCell ref="CD47:CE47"/>
    <mergeCell ref="CF47:CG47"/>
    <mergeCell ref="B48:F48"/>
    <mergeCell ref="AA48:AD48"/>
    <mergeCell ref="AJ48:AL48"/>
    <mergeCell ref="AM48:AO48"/>
    <mergeCell ref="AP48:AR48"/>
    <mergeCell ref="AS48:AU48"/>
    <mergeCell ref="AV48:AX48"/>
    <mergeCell ref="BO48:BS48"/>
    <mergeCell ref="AV47:AX47"/>
    <mergeCell ref="BO47:BS47"/>
    <mergeCell ref="BT47:BV47"/>
    <mergeCell ref="BX47:BY47"/>
    <mergeCell ref="BZ47:CA47"/>
    <mergeCell ref="CB47:CC47"/>
    <mergeCell ref="B47:F47"/>
    <mergeCell ref="AA47:AD47"/>
    <mergeCell ref="AJ47:AL47"/>
    <mergeCell ref="BT48:BV48"/>
    <mergeCell ref="BX48:BY48"/>
    <mergeCell ref="BZ48:CA48"/>
    <mergeCell ref="CB48:CC48"/>
    <mergeCell ref="CD48:CE48"/>
    <mergeCell ref="AF48:AH48"/>
    <mergeCell ref="CF46:CG46"/>
    <mergeCell ref="CD45:CE45"/>
    <mergeCell ref="CF45:CG45"/>
    <mergeCell ref="B46:F46"/>
    <mergeCell ref="AA46:AD46"/>
    <mergeCell ref="AJ46:AL46"/>
    <mergeCell ref="CF44:CG44"/>
    <mergeCell ref="CD43:CE43"/>
    <mergeCell ref="CF43:CG43"/>
    <mergeCell ref="B44:F44"/>
    <mergeCell ref="AA44:AD44"/>
    <mergeCell ref="AJ44:AL44"/>
    <mergeCell ref="AM44:AO44"/>
    <mergeCell ref="AP44:AR44"/>
    <mergeCell ref="AS44:AU44"/>
    <mergeCell ref="AV44:AX44"/>
    <mergeCell ref="BO44:BS44"/>
    <mergeCell ref="AV43:AX43"/>
    <mergeCell ref="BO43:BS43"/>
    <mergeCell ref="BT43:BV43"/>
    <mergeCell ref="BX43:BY43"/>
    <mergeCell ref="BZ43:CA43"/>
    <mergeCell ref="CB43:CC43"/>
    <mergeCell ref="B43:F43"/>
    <mergeCell ref="AA43:AD43"/>
    <mergeCell ref="AJ43:AL43"/>
    <mergeCell ref="BX44:BY44"/>
    <mergeCell ref="BZ44:CA44"/>
    <mergeCell ref="CB44:CC44"/>
    <mergeCell ref="CD44:CE44"/>
    <mergeCell ref="AF43:AH43"/>
    <mergeCell ref="AF44:AH44"/>
    <mergeCell ref="BZ42:CA42"/>
    <mergeCell ref="CB42:CC42"/>
    <mergeCell ref="CD42:CE42"/>
    <mergeCell ref="CF42:CG42"/>
    <mergeCell ref="AM40:AO40"/>
    <mergeCell ref="AP40:AR40"/>
    <mergeCell ref="AS40:AU40"/>
    <mergeCell ref="AV40:AX40"/>
    <mergeCell ref="BX40:BY40"/>
    <mergeCell ref="BZ40:CA40"/>
    <mergeCell ref="B37:F40"/>
    <mergeCell ref="BX37:CG39"/>
    <mergeCell ref="AZ38:BC38"/>
    <mergeCell ref="BD38:BF38"/>
    <mergeCell ref="BI38:BS38"/>
    <mergeCell ref="BT38:BV40"/>
    <mergeCell ref="AJ39:AX39"/>
    <mergeCell ref="BI39:BI40"/>
    <mergeCell ref="BJ39:BJ40"/>
    <mergeCell ref="CB40:CC40"/>
    <mergeCell ref="CD40:CE40"/>
    <mergeCell ref="CF40:CG40"/>
    <mergeCell ref="AA37:AD37"/>
    <mergeCell ref="AF37:AH37"/>
    <mergeCell ref="AA38:AD40"/>
    <mergeCell ref="AF38:AH40"/>
    <mergeCell ref="B42:F42"/>
    <mergeCell ref="BX42:BY42"/>
    <mergeCell ref="BX34:BY34"/>
    <mergeCell ref="BZ34:CA34"/>
    <mergeCell ref="CB34:CC34"/>
    <mergeCell ref="CD34:CE34"/>
    <mergeCell ref="CF34:CG34"/>
    <mergeCell ref="BK39:BK40"/>
    <mergeCell ref="BL39:BL40"/>
    <mergeCell ref="AJ37:AX38"/>
    <mergeCell ref="AZ37:BG37"/>
    <mergeCell ref="BI37:BV37"/>
    <mergeCell ref="BM39:BM40"/>
    <mergeCell ref="BN39:BN40"/>
    <mergeCell ref="BO39:BS40"/>
    <mergeCell ref="AJ40:AL40"/>
    <mergeCell ref="CF32:CG32"/>
    <mergeCell ref="B34:F34"/>
    <mergeCell ref="AA34:AD34"/>
    <mergeCell ref="AJ34:AL34"/>
    <mergeCell ref="AM34:AO34"/>
    <mergeCell ref="AP34:AR34"/>
    <mergeCell ref="AS34:AU34"/>
    <mergeCell ref="AV34:AX34"/>
    <mergeCell ref="BO34:BS34"/>
    <mergeCell ref="BO32:BS32"/>
    <mergeCell ref="BT32:BV32"/>
    <mergeCell ref="BX32:BY32"/>
    <mergeCell ref="BZ32:CA32"/>
    <mergeCell ref="CB32:CC32"/>
    <mergeCell ref="CD32:CE32"/>
    <mergeCell ref="B32:F32"/>
    <mergeCell ref="AA32:AD32"/>
    <mergeCell ref="AM32:AO32"/>
    <mergeCell ref="BZ28:CA28"/>
    <mergeCell ref="CB28:CC28"/>
    <mergeCell ref="CD28:CE28"/>
    <mergeCell ref="CF28:CG28"/>
    <mergeCell ref="B29:F29"/>
    <mergeCell ref="AA29:AD29"/>
    <mergeCell ref="AJ29:AL29"/>
    <mergeCell ref="AM29:AO29"/>
    <mergeCell ref="AP29:AR29"/>
    <mergeCell ref="AS29:AU29"/>
    <mergeCell ref="B28:F28"/>
    <mergeCell ref="AA28:AD28"/>
    <mergeCell ref="BX28:BY28"/>
    <mergeCell ref="CD29:CE29"/>
    <mergeCell ref="CF29:CG29"/>
    <mergeCell ref="BO29:BS29"/>
    <mergeCell ref="BT29:BV29"/>
    <mergeCell ref="BX29:BY29"/>
    <mergeCell ref="BZ29:CA29"/>
    <mergeCell ref="CB29:CC29"/>
    <mergeCell ref="AF29:AH29"/>
    <mergeCell ref="AJ28:AL28"/>
    <mergeCell ref="AM28:AO28"/>
    <mergeCell ref="AP28:AR28"/>
    <mergeCell ref="BO28:BS28"/>
    <mergeCell ref="CF27:CG27"/>
    <mergeCell ref="CD26:CE26"/>
    <mergeCell ref="CF26:CG26"/>
    <mergeCell ref="AS27:AU27"/>
    <mergeCell ref="AV27:AX27"/>
    <mergeCell ref="BO27:BS27"/>
    <mergeCell ref="AV26:AX26"/>
    <mergeCell ref="BO26:BS26"/>
    <mergeCell ref="BT26:BV26"/>
    <mergeCell ref="BX26:BY26"/>
    <mergeCell ref="BZ26:CA26"/>
    <mergeCell ref="CB26:CC26"/>
    <mergeCell ref="B22:F22"/>
    <mergeCell ref="AA22:AD22"/>
    <mergeCell ref="CF25:CG25"/>
    <mergeCell ref="CD24:CE24"/>
    <mergeCell ref="CF24:CG24"/>
    <mergeCell ref="B25:F25"/>
    <mergeCell ref="AA25:AD25"/>
    <mergeCell ref="AJ25:AL25"/>
    <mergeCell ref="AM25:AO25"/>
    <mergeCell ref="AP25:AR25"/>
    <mergeCell ref="AS25:AU25"/>
    <mergeCell ref="AV25:AX25"/>
    <mergeCell ref="BO25:BS25"/>
    <mergeCell ref="AV24:AX24"/>
    <mergeCell ref="BO24:BS24"/>
    <mergeCell ref="BT24:BV24"/>
    <mergeCell ref="AP23:AR23"/>
    <mergeCell ref="B27:F27"/>
    <mergeCell ref="AJ27:AL27"/>
    <mergeCell ref="AM27:AO27"/>
    <mergeCell ref="CD25:CE25"/>
    <mergeCell ref="AA23:AD23"/>
    <mergeCell ref="B21:F21"/>
    <mergeCell ref="AA21:AD21"/>
    <mergeCell ref="AJ21:AL21"/>
    <mergeCell ref="AM21:AO21"/>
    <mergeCell ref="AP21:AR21"/>
    <mergeCell ref="AS21:AU21"/>
    <mergeCell ref="AV21:AX21"/>
    <mergeCell ref="BO21:BS21"/>
    <mergeCell ref="CD21:CE21"/>
    <mergeCell ref="BT23:BV23"/>
    <mergeCell ref="BX23:BY23"/>
    <mergeCell ref="BZ23:CA23"/>
    <mergeCell ref="CB23:CC23"/>
    <mergeCell ref="CD23:CE23"/>
    <mergeCell ref="BX27:BY27"/>
    <mergeCell ref="BZ27:CA27"/>
    <mergeCell ref="CB27:CC27"/>
    <mergeCell ref="CD27:CE27"/>
    <mergeCell ref="AP27:AR27"/>
    <mergeCell ref="AP24:AR24"/>
    <mergeCell ref="AS24:AU24"/>
    <mergeCell ref="BT25:BV25"/>
    <mergeCell ref="G22:Y22"/>
    <mergeCell ref="G23:Y23"/>
    <mergeCell ref="G24:Y24"/>
    <mergeCell ref="G25:Y25"/>
    <mergeCell ref="G21:Y21"/>
    <mergeCell ref="AM20:AO20"/>
    <mergeCell ref="AP20:AR20"/>
    <mergeCell ref="BX24:BY24"/>
    <mergeCell ref="BZ24:CA24"/>
    <mergeCell ref="AJ22:AL22"/>
    <mergeCell ref="AM22:AO22"/>
    <mergeCell ref="AP22:AR22"/>
    <mergeCell ref="AS22:AU22"/>
    <mergeCell ref="CB24:CC24"/>
    <mergeCell ref="B24:F24"/>
    <mergeCell ref="AA24:AD24"/>
    <mergeCell ref="AJ24:AL24"/>
    <mergeCell ref="AM24:AO24"/>
    <mergeCell ref="BX25:BY25"/>
    <mergeCell ref="BZ25:CA25"/>
    <mergeCell ref="CB25:CC25"/>
    <mergeCell ref="CF23:CG23"/>
    <mergeCell ref="CD22:CE22"/>
    <mergeCell ref="CF22:CG22"/>
    <mergeCell ref="CF21:CG21"/>
    <mergeCell ref="CF20:CG20"/>
    <mergeCell ref="AS23:AU23"/>
    <mergeCell ref="AV23:AX23"/>
    <mergeCell ref="BO23:BS23"/>
    <mergeCell ref="AV22:AX22"/>
    <mergeCell ref="BO22:BS22"/>
    <mergeCell ref="BT22:BV22"/>
    <mergeCell ref="BX22:BY22"/>
    <mergeCell ref="BZ22:CA22"/>
    <mergeCell ref="CB22:CC22"/>
    <mergeCell ref="AJ23:AL23"/>
    <mergeCell ref="AM23:AO23"/>
    <mergeCell ref="CF19:CG19"/>
    <mergeCell ref="AV20:AX20"/>
    <mergeCell ref="BO20:BS20"/>
    <mergeCell ref="BT20:BV20"/>
    <mergeCell ref="BX20:BY20"/>
    <mergeCell ref="BZ20:CA20"/>
    <mergeCell ref="CB20:CC20"/>
    <mergeCell ref="AJ20:AL20"/>
    <mergeCell ref="BT21:BV21"/>
    <mergeCell ref="BX21:BY21"/>
    <mergeCell ref="BZ21:CA21"/>
    <mergeCell ref="CB21:CC21"/>
    <mergeCell ref="CD18:CE18"/>
    <mergeCell ref="CF18:CG18"/>
    <mergeCell ref="CF17:CG17"/>
    <mergeCell ref="AS20:AU20"/>
    <mergeCell ref="B19:F19"/>
    <mergeCell ref="AA19:AD19"/>
    <mergeCell ref="AJ19:AL19"/>
    <mergeCell ref="AM19:AO19"/>
    <mergeCell ref="AP19:AR19"/>
    <mergeCell ref="AS19:AU19"/>
    <mergeCell ref="AV19:AX19"/>
    <mergeCell ref="BO19:BS19"/>
    <mergeCell ref="AV18:AX18"/>
    <mergeCell ref="BO18:BS18"/>
    <mergeCell ref="BT18:BV18"/>
    <mergeCell ref="BX18:BY18"/>
    <mergeCell ref="BZ18:CA18"/>
    <mergeCell ref="CB18:CC18"/>
    <mergeCell ref="B18:F18"/>
    <mergeCell ref="AA18:AD18"/>
    <mergeCell ref="B20:F20"/>
    <mergeCell ref="AA20:AD20"/>
    <mergeCell ref="G18:Y18"/>
    <mergeCell ref="G19:Y19"/>
    <mergeCell ref="G20:Y20"/>
    <mergeCell ref="B15:F15"/>
    <mergeCell ref="AA15:AD15"/>
    <mergeCell ref="AJ15:AL15"/>
    <mergeCell ref="AM15:AO15"/>
    <mergeCell ref="AP15:AR15"/>
    <mergeCell ref="AS15:AU15"/>
    <mergeCell ref="AV15:AX15"/>
    <mergeCell ref="BO15:BS15"/>
    <mergeCell ref="G15:Y15"/>
    <mergeCell ref="G16:Y16"/>
    <mergeCell ref="G17:Y17"/>
    <mergeCell ref="AF15:AH15"/>
    <mergeCell ref="CD20:CE20"/>
    <mergeCell ref="AJ18:AL18"/>
    <mergeCell ref="AM18:AO18"/>
    <mergeCell ref="AP18:AR18"/>
    <mergeCell ref="AS18:AU18"/>
    <mergeCell ref="BT17:BV17"/>
    <mergeCell ref="BX17:BY17"/>
    <mergeCell ref="BZ17:CA17"/>
    <mergeCell ref="CB17:CC17"/>
    <mergeCell ref="CD17:CE17"/>
    <mergeCell ref="BT19:BV19"/>
    <mergeCell ref="BX19:BY19"/>
    <mergeCell ref="BZ19:CA19"/>
    <mergeCell ref="CB19:CC19"/>
    <mergeCell ref="CD19:CE19"/>
    <mergeCell ref="BZ15:CA15"/>
    <mergeCell ref="CB15:CC15"/>
    <mergeCell ref="CD15:CE15"/>
    <mergeCell ref="AJ16:AL16"/>
    <mergeCell ref="AM16:AO16"/>
    <mergeCell ref="AP16:AR16"/>
    <mergeCell ref="AS16:AU16"/>
    <mergeCell ref="CD16:CE16"/>
    <mergeCell ref="CD13:CE13"/>
    <mergeCell ref="BT15:BV15"/>
    <mergeCell ref="BX15:BY15"/>
    <mergeCell ref="CF16:CG16"/>
    <mergeCell ref="AV14:AX14"/>
    <mergeCell ref="BO14:BS14"/>
    <mergeCell ref="BT14:BV14"/>
    <mergeCell ref="BX14:BY14"/>
    <mergeCell ref="B17:F17"/>
    <mergeCell ref="AA17:AD17"/>
    <mergeCell ref="AJ17:AL17"/>
    <mergeCell ref="AM17:AO17"/>
    <mergeCell ref="AP17:AR17"/>
    <mergeCell ref="AS17:AU17"/>
    <mergeCell ref="AV17:AX17"/>
    <mergeCell ref="BO17:BS17"/>
    <mergeCell ref="AV16:AX16"/>
    <mergeCell ref="BO16:BS16"/>
    <mergeCell ref="BT16:BV16"/>
    <mergeCell ref="BX16:BY16"/>
    <mergeCell ref="BZ16:CA16"/>
    <mergeCell ref="CB16:CC16"/>
    <mergeCell ref="B16:F16"/>
    <mergeCell ref="AA16:AD16"/>
    <mergeCell ref="AF13:AH13"/>
    <mergeCell ref="AF14:AH14"/>
    <mergeCell ref="AJ14:AL14"/>
    <mergeCell ref="B14:F14"/>
    <mergeCell ref="AA14:AD14"/>
    <mergeCell ref="CD9:CE9"/>
    <mergeCell ref="CF9:CG9"/>
    <mergeCell ref="CD12:CE12"/>
    <mergeCell ref="CF12:CG12"/>
    <mergeCell ref="CD11:CE11"/>
    <mergeCell ref="CF11:CG11"/>
    <mergeCell ref="AM9:AO9"/>
    <mergeCell ref="AP9:AR9"/>
    <mergeCell ref="AS9:AU9"/>
    <mergeCell ref="AV9:AX9"/>
    <mergeCell ref="BX9:BY9"/>
    <mergeCell ref="BZ9:CA9"/>
    <mergeCell ref="BZ14:CA14"/>
    <mergeCell ref="CB14:CC14"/>
    <mergeCell ref="BX11:BY11"/>
    <mergeCell ref="BZ11:CA11"/>
    <mergeCell ref="CB11:CC11"/>
    <mergeCell ref="BZ13:CA13"/>
    <mergeCell ref="CB13:CC13"/>
    <mergeCell ref="BN8:BN9"/>
    <mergeCell ref="AM14:AO14"/>
    <mergeCell ref="AP14:AR14"/>
    <mergeCell ref="AS14:AU14"/>
    <mergeCell ref="G13:Y13"/>
    <mergeCell ref="G14:Y14"/>
    <mergeCell ref="BO8:BS9"/>
    <mergeCell ref="AJ9:AL9"/>
    <mergeCell ref="B6:F9"/>
    <mergeCell ref="BX6:CG8"/>
    <mergeCell ref="AZ7:BC7"/>
    <mergeCell ref="BD7:BF7"/>
    <mergeCell ref="CF15:CG15"/>
    <mergeCell ref="CD14:CE14"/>
    <mergeCell ref="CF14:CG14"/>
    <mergeCell ref="CF13:CG13"/>
    <mergeCell ref="BT13:BV13"/>
    <mergeCell ref="BX13:BY13"/>
    <mergeCell ref="B13:F13"/>
    <mergeCell ref="AA13:AD13"/>
    <mergeCell ref="AJ13:AL13"/>
    <mergeCell ref="AM13:AO13"/>
    <mergeCell ref="AP13:AR13"/>
    <mergeCell ref="AS13:AU13"/>
    <mergeCell ref="AV13:AX13"/>
    <mergeCell ref="BO13:BS13"/>
    <mergeCell ref="AV12:AX12"/>
    <mergeCell ref="BO12:BS12"/>
    <mergeCell ref="BT12:BV12"/>
    <mergeCell ref="BX12:BY12"/>
    <mergeCell ref="BZ12:CA12"/>
    <mergeCell ref="CB12:CC12"/>
    <mergeCell ref="B12:F12"/>
    <mergeCell ref="AA12:AD12"/>
    <mergeCell ref="BJ8:BJ9"/>
    <mergeCell ref="CB9:CC9"/>
    <mergeCell ref="BI7:BS7"/>
    <mergeCell ref="BT7:BV9"/>
    <mergeCell ref="AJ8:AX8"/>
    <mergeCell ref="BI8:BI9"/>
    <mergeCell ref="AA6:AD6"/>
    <mergeCell ref="AF6:AH6"/>
    <mergeCell ref="AA7:AD9"/>
    <mergeCell ref="AF7:AH9"/>
    <mergeCell ref="I2:Y4"/>
    <mergeCell ref="G6:Y9"/>
    <mergeCell ref="B11:F11"/>
    <mergeCell ref="AJ12:AL12"/>
    <mergeCell ref="AM12:AO12"/>
    <mergeCell ref="AP12:AR12"/>
    <mergeCell ref="AS12:AU12"/>
    <mergeCell ref="G11:Y11"/>
    <mergeCell ref="B2:H4"/>
    <mergeCell ref="AB2:AM4"/>
    <mergeCell ref="AN2:BA4"/>
    <mergeCell ref="BC2:BF4"/>
    <mergeCell ref="BG2:BI4"/>
    <mergeCell ref="BK2:BM4"/>
    <mergeCell ref="BN2:BR4"/>
    <mergeCell ref="BU2:CG4"/>
    <mergeCell ref="BK8:BK9"/>
    <mergeCell ref="BL8:BL9"/>
    <mergeCell ref="AJ6:AX7"/>
    <mergeCell ref="AZ6:BG6"/>
    <mergeCell ref="BI6:BV6"/>
    <mergeCell ref="BM8:BM9"/>
    <mergeCell ref="AF12:AH12"/>
    <mergeCell ref="G12:Y12"/>
  </mergeCells>
  <pageMargins left="0.7" right="0.7" top="0.75" bottom="0.75" header="0.3" footer="0.3"/>
  <pageSetup paperSize="9" scale="35" orientation="portrait" horizontalDpi="4294967293" verticalDpi="200" r:id="rId1"/>
  <rowBreaks count="3" manualBreakCount="3">
    <brk id="35" max="85" man="1"/>
    <brk id="65" max="85" man="1"/>
    <brk id="90" max="85" man="1"/>
  </rowBreaks>
  <ignoredErrors>
    <ignoredError sqref="AA6 AF6 AZ8:BG8 BT7 AA37:CG38 AA67:CG68 AA92 AF92 AZ94:BG94 BT93 AA40:AY40 BH40 AA70:AY70 BH70 AA39:BH39 BL39 BL40 AA69:BH69 BL69 BL70 BJ40 BJ39 BJ70 BJ69 BN39:CG39 BN40:CG40 BN69:CG69 BN70:CG70"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Assets all</vt:lpstr>
      <vt:lpstr>DID5259 RPOA Actions</vt:lpstr>
      <vt:lpstr>PERSGA RPOA Actions summary</vt:lpstr>
      <vt:lpstr>DID5271 NPOA Actions</vt:lpstr>
      <vt:lpstr>'Assets all'!Print_Area</vt:lpstr>
      <vt:lpstr>'DID5259 RPOA Actions'!Print_Area</vt:lpstr>
      <vt:lpstr>'DID5271 NPOA Actions'!Print_Area</vt:lpstr>
      <vt:lpstr>'PERSGA RPOA Actions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Alec Dawson Shepherd</dc:creator>
  <cp:lastModifiedBy>Alec Dawson Shepherd</cp:lastModifiedBy>
  <cp:lastPrinted>2024-08-04T21:16:27Z</cp:lastPrinted>
  <dcterms:created xsi:type="dcterms:W3CDTF">2023-02-21T18:02:41Z</dcterms:created>
  <dcterms:modified xsi:type="dcterms:W3CDTF">2024-10-12T20:58:31Z</dcterms:modified>
</cp:coreProperties>
</file>